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80" windowHeight="8325" activeTab="1"/>
  </bookViews>
  <sheets>
    <sheet name="教授" sheetId="1" r:id="rId1"/>
    <sheet name="事業収支" sheetId="2" r:id="rId2"/>
    <sheet name="評価CO2削減" sheetId="3" r:id="rId3"/>
    <sheet name="エネルギー単位熱量" sheetId="4" r:id="rId4"/>
    <sheet name="排出係数" sheetId="5" r:id="rId5"/>
    <sheet name="発酵１" sheetId="6" r:id="rId6"/>
    <sheet name="発酵２" sheetId="7" r:id="rId7"/>
    <sheet name="発酵３" sheetId="8" r:id="rId8"/>
    <sheet name="発酵４" sheetId="9" r:id="rId9"/>
    <sheet name="まとめ" sheetId="10" r:id="rId10"/>
    <sheet name="Sheet8" sheetId="11" r:id="rId11"/>
  </sheets>
  <calcPr calcId="125725"/>
</workbook>
</file>

<file path=xl/calcChain.xml><?xml version="1.0" encoding="utf-8"?>
<calcChain xmlns="http://schemas.openxmlformats.org/spreadsheetml/2006/main">
  <c r="M3" i="2"/>
  <c r="L1"/>
  <c r="D10"/>
  <c r="J7"/>
  <c r="P27" i="8" l="1"/>
  <c r="M27" s="1"/>
  <c r="P26"/>
  <c r="M26" s="1"/>
  <c r="P27" i="7"/>
  <c r="P29" s="1"/>
  <c r="P26"/>
  <c r="M26" s="1"/>
  <c r="P27" i="6"/>
  <c r="M27" s="1"/>
  <c r="P26"/>
  <c r="M26" s="1"/>
  <c r="P27" i="9"/>
  <c r="P26"/>
  <c r="E35"/>
  <c r="E34"/>
  <c r="N21"/>
  <c r="N17"/>
  <c r="J17"/>
  <c r="N16"/>
  <c r="G16"/>
  <c r="K20" s="1"/>
  <c r="N15"/>
  <c r="N11"/>
  <c r="D9"/>
  <c r="G7"/>
  <c r="P5"/>
  <c r="P4" s="1"/>
  <c r="G5"/>
  <c r="N19" s="1"/>
  <c r="D5"/>
  <c r="J7" s="1"/>
  <c r="O7" s="1"/>
  <c r="P7" s="1"/>
  <c r="Q7" s="1"/>
  <c r="G4"/>
  <c r="L21" s="1"/>
  <c r="G3"/>
  <c r="M22" s="1"/>
  <c r="R2"/>
  <c r="P28" i="7"/>
  <c r="D9" i="8"/>
  <c r="J17"/>
  <c r="E35"/>
  <c r="E34"/>
  <c r="L22"/>
  <c r="L21"/>
  <c r="N20"/>
  <c r="N19"/>
  <c r="L18"/>
  <c r="L17"/>
  <c r="L16"/>
  <c r="L15"/>
  <c r="N14"/>
  <c r="N13"/>
  <c r="L12"/>
  <c r="L11"/>
  <c r="N10"/>
  <c r="N9"/>
  <c r="N8"/>
  <c r="G7"/>
  <c r="G16" s="1"/>
  <c r="P5"/>
  <c r="G5"/>
  <c r="N22" s="1"/>
  <c r="D5"/>
  <c r="J7" s="1"/>
  <c r="P4"/>
  <c r="G4"/>
  <c r="L20" s="1"/>
  <c r="G3"/>
  <c r="M21" s="1"/>
  <c r="R2"/>
  <c r="E35" i="7"/>
  <c r="E34"/>
  <c r="M30"/>
  <c r="M22"/>
  <c r="N19"/>
  <c r="J17"/>
  <c r="N13"/>
  <c r="N11"/>
  <c r="L11"/>
  <c r="M10"/>
  <c r="N9"/>
  <c r="D9"/>
  <c r="N8"/>
  <c r="G7"/>
  <c r="G16" s="1"/>
  <c r="P5"/>
  <c r="P4" s="1"/>
  <c r="G5"/>
  <c r="N22" s="1"/>
  <c r="D5"/>
  <c r="J7" s="1"/>
  <c r="G4"/>
  <c r="L20" s="1"/>
  <c r="G3"/>
  <c r="M21" s="1"/>
  <c r="R2"/>
  <c r="E35" i="6"/>
  <c r="E34"/>
  <c r="N21"/>
  <c r="M20"/>
  <c r="N17"/>
  <c r="J17"/>
  <c r="N16"/>
  <c r="G16"/>
  <c r="K21" s="1"/>
  <c r="N15"/>
  <c r="M14"/>
  <c r="K12"/>
  <c r="N11"/>
  <c r="M10"/>
  <c r="D9"/>
  <c r="O7"/>
  <c r="P7" s="1"/>
  <c r="Q7" s="1"/>
  <c r="J7"/>
  <c r="G7"/>
  <c r="P5"/>
  <c r="P4" s="1"/>
  <c r="G5"/>
  <c r="N20" s="1"/>
  <c r="D5"/>
  <c r="G4"/>
  <c r="L22" s="1"/>
  <c r="G3"/>
  <c r="M19" s="1"/>
  <c r="R2"/>
  <c r="I41" i="5"/>
  <c r="I40"/>
  <c r="I39"/>
  <c r="I37"/>
  <c r="I36"/>
  <c r="I35"/>
  <c r="I34"/>
  <c r="I33"/>
  <c r="I32"/>
  <c r="I31"/>
  <c r="I28"/>
  <c r="I27"/>
  <c r="I26"/>
  <c r="I22"/>
  <c r="I23"/>
  <c r="I24"/>
  <c r="I25"/>
  <c r="I19"/>
  <c r="I5"/>
  <c r="I6"/>
  <c r="I7"/>
  <c r="I8"/>
  <c r="I9"/>
  <c r="I10"/>
  <c r="I11"/>
  <c r="I12"/>
  <c r="I13"/>
  <c r="I14"/>
  <c r="I15"/>
  <c r="I16"/>
  <c r="I17"/>
  <c r="I18"/>
  <c r="I21"/>
  <c r="I29"/>
  <c r="I4"/>
  <c r="H32" i="3"/>
  <c r="C24"/>
  <c r="F26" s="1"/>
  <c r="F32"/>
  <c r="G32"/>
  <c r="E32"/>
  <c r="F29"/>
  <c r="G29"/>
  <c r="H29"/>
  <c r="E29"/>
  <c r="C29"/>
  <c r="G20"/>
  <c r="H20"/>
  <c r="F20"/>
  <c r="E20"/>
  <c r="F16"/>
  <c r="G16"/>
  <c r="H16"/>
  <c r="E16"/>
  <c r="F12"/>
  <c r="F17" s="1"/>
  <c r="F21" s="1"/>
  <c r="H13"/>
  <c r="H17" s="1"/>
  <c r="H21" s="1"/>
  <c r="G13"/>
  <c r="G17" s="1"/>
  <c r="G21" s="1"/>
  <c r="E12"/>
  <c r="E17" s="1"/>
  <c r="E21" s="1"/>
  <c r="H9"/>
  <c r="F9"/>
  <c r="E9"/>
  <c r="H7"/>
  <c r="F7"/>
  <c r="E7"/>
  <c r="M30" i="2"/>
  <c r="M29"/>
  <c r="M26"/>
  <c r="M27"/>
  <c r="P4"/>
  <c r="P5"/>
  <c r="R2"/>
  <c r="J17"/>
  <c r="J23" s="1"/>
  <c r="E35"/>
  <c r="E34"/>
  <c r="L22"/>
  <c r="L21"/>
  <c r="L18"/>
  <c r="L17"/>
  <c r="L15"/>
  <c r="L12"/>
  <c r="L9"/>
  <c r="D9"/>
  <c r="L8"/>
  <c r="G7"/>
  <c r="G16" s="1"/>
  <c r="G5"/>
  <c r="N20" s="1"/>
  <c r="D5"/>
  <c r="O7" s="1"/>
  <c r="P7" s="1"/>
  <c r="Q7" s="1"/>
  <c r="G4"/>
  <c r="G3"/>
  <c r="W23" i="1"/>
  <c r="V25"/>
  <c r="V11"/>
  <c r="V8"/>
  <c r="S11"/>
  <c r="S10"/>
  <c r="S9"/>
  <c r="S8"/>
  <c r="D10"/>
  <c r="J17"/>
  <c r="P9"/>
  <c r="P10"/>
  <c r="P11"/>
  <c r="P12"/>
  <c r="P13"/>
  <c r="P14"/>
  <c r="P15"/>
  <c r="P16"/>
  <c r="P18"/>
  <c r="P19"/>
  <c r="P20"/>
  <c r="P21"/>
  <c r="P22"/>
  <c r="P23"/>
  <c r="P24"/>
  <c r="P25"/>
  <c r="P26"/>
  <c r="P27"/>
  <c r="P28"/>
  <c r="P29"/>
  <c r="P30"/>
  <c r="P31"/>
  <c r="P32"/>
  <c r="P8"/>
  <c r="K23"/>
  <c r="L23"/>
  <c r="M23"/>
  <c r="N23"/>
  <c r="O23"/>
  <c r="Q23"/>
  <c r="K24"/>
  <c r="L24"/>
  <c r="M24"/>
  <c r="O24" s="1"/>
  <c r="N24"/>
  <c r="Q24"/>
  <c r="K25"/>
  <c r="L25"/>
  <c r="M25"/>
  <c r="N25"/>
  <c r="O25"/>
  <c r="Q25"/>
  <c r="K26"/>
  <c r="L26"/>
  <c r="M26"/>
  <c r="O26" s="1"/>
  <c r="N26"/>
  <c r="Q26"/>
  <c r="K27"/>
  <c r="L27"/>
  <c r="M27"/>
  <c r="N27"/>
  <c r="O27"/>
  <c r="Q27"/>
  <c r="K28"/>
  <c r="L28"/>
  <c r="M28"/>
  <c r="O28" s="1"/>
  <c r="N28"/>
  <c r="Q28"/>
  <c r="K29"/>
  <c r="L29"/>
  <c r="M29"/>
  <c r="N29"/>
  <c r="O29"/>
  <c r="Q29"/>
  <c r="K30"/>
  <c r="L30"/>
  <c r="M30"/>
  <c r="O30" s="1"/>
  <c r="N30"/>
  <c r="Q30"/>
  <c r="K31"/>
  <c r="L31"/>
  <c r="M31"/>
  <c r="N31"/>
  <c r="O31"/>
  <c r="Q31"/>
  <c r="K32"/>
  <c r="L32"/>
  <c r="M32"/>
  <c r="O32" s="1"/>
  <c r="N32"/>
  <c r="Q32"/>
  <c r="R8"/>
  <c r="Q22"/>
  <c r="T7"/>
  <c r="S7"/>
  <c r="M10"/>
  <c r="M11"/>
  <c r="M12"/>
  <c r="M14"/>
  <c r="M15"/>
  <c r="M16"/>
  <c r="M18"/>
  <c r="M19"/>
  <c r="M20"/>
  <c r="M22"/>
  <c r="M8"/>
  <c r="G7"/>
  <c r="G16" s="1"/>
  <c r="E35"/>
  <c r="E34"/>
  <c r="G5"/>
  <c r="N10" s="1"/>
  <c r="G4"/>
  <c r="L9" s="1"/>
  <c r="G3"/>
  <c r="M9" s="1"/>
  <c r="L10"/>
  <c r="L11"/>
  <c r="L14"/>
  <c r="L18"/>
  <c r="L19"/>
  <c r="L22"/>
  <c r="N9"/>
  <c r="N13"/>
  <c r="N20"/>
  <c r="D9"/>
  <c r="D5"/>
  <c r="J7" s="1"/>
  <c r="O7" s="1"/>
  <c r="P7" s="1"/>
  <c r="M27" i="7" l="1"/>
  <c r="P29" i="6"/>
  <c r="P28"/>
  <c r="M10" i="9"/>
  <c r="K12"/>
  <c r="M20"/>
  <c r="M14"/>
  <c r="L8"/>
  <c r="L9"/>
  <c r="K18"/>
  <c r="L19"/>
  <c r="J23"/>
  <c r="L10"/>
  <c r="M11"/>
  <c r="N12"/>
  <c r="K13"/>
  <c r="L14"/>
  <c r="M15"/>
  <c r="M16"/>
  <c r="N18"/>
  <c r="K19"/>
  <c r="O19" s="1"/>
  <c r="P19" s="1"/>
  <c r="L20"/>
  <c r="O20" s="1"/>
  <c r="P20" s="1"/>
  <c r="M21"/>
  <c r="N22"/>
  <c r="N8"/>
  <c r="N9"/>
  <c r="G6"/>
  <c r="M8"/>
  <c r="M9"/>
  <c r="N10"/>
  <c r="K11"/>
  <c r="L12"/>
  <c r="M13"/>
  <c r="N14"/>
  <c r="K15"/>
  <c r="K16"/>
  <c r="K17"/>
  <c r="O17" s="1"/>
  <c r="P17" s="1"/>
  <c r="L18"/>
  <c r="M19"/>
  <c r="N20"/>
  <c r="K21"/>
  <c r="O21" s="1"/>
  <c r="P21" s="1"/>
  <c r="L22"/>
  <c r="L13"/>
  <c r="K22"/>
  <c r="K8"/>
  <c r="O8" s="1"/>
  <c r="K9"/>
  <c r="M17"/>
  <c r="K10"/>
  <c r="L11"/>
  <c r="M12"/>
  <c r="N13"/>
  <c r="K14"/>
  <c r="L15"/>
  <c r="L16"/>
  <c r="L17"/>
  <c r="M18"/>
  <c r="M13" i="8"/>
  <c r="M18"/>
  <c r="M8"/>
  <c r="M12"/>
  <c r="M9"/>
  <c r="M22"/>
  <c r="G6"/>
  <c r="M19"/>
  <c r="J23"/>
  <c r="O7"/>
  <c r="P7" s="1"/>
  <c r="Q7" s="1"/>
  <c r="K19"/>
  <c r="K13"/>
  <c r="O13" s="1"/>
  <c r="P13" s="1"/>
  <c r="K9"/>
  <c r="O9" s="1"/>
  <c r="P9" s="1"/>
  <c r="K8"/>
  <c r="K21"/>
  <c r="K16"/>
  <c r="K15"/>
  <c r="K11"/>
  <c r="K14"/>
  <c r="K10"/>
  <c r="K22"/>
  <c r="K18"/>
  <c r="K12"/>
  <c r="K17"/>
  <c r="K20"/>
  <c r="L8"/>
  <c r="L9"/>
  <c r="M10"/>
  <c r="N11"/>
  <c r="L13"/>
  <c r="M14"/>
  <c r="N15"/>
  <c r="N16"/>
  <c r="N17"/>
  <c r="L19"/>
  <c r="M20"/>
  <c r="N21"/>
  <c r="L10"/>
  <c r="M11"/>
  <c r="N12"/>
  <c r="L14"/>
  <c r="M15"/>
  <c r="M16"/>
  <c r="M17"/>
  <c r="N18"/>
  <c r="M12" i="7"/>
  <c r="M18"/>
  <c r="J23"/>
  <c r="O7"/>
  <c r="P7" s="1"/>
  <c r="Q7" s="1"/>
  <c r="K19"/>
  <c r="K13"/>
  <c r="K9"/>
  <c r="K8"/>
  <c r="K22"/>
  <c r="K18"/>
  <c r="O18" s="1"/>
  <c r="P18" s="1"/>
  <c r="K12"/>
  <c r="K21"/>
  <c r="K17"/>
  <c r="K16"/>
  <c r="K15"/>
  <c r="K11"/>
  <c r="K20"/>
  <c r="K14"/>
  <c r="K10"/>
  <c r="L15"/>
  <c r="L16"/>
  <c r="L17"/>
  <c r="L21"/>
  <c r="G6"/>
  <c r="M8"/>
  <c r="M9"/>
  <c r="N10"/>
  <c r="L12"/>
  <c r="M13"/>
  <c r="N14"/>
  <c r="L18"/>
  <c r="M19"/>
  <c r="N20"/>
  <c r="L22"/>
  <c r="L8"/>
  <c r="L9"/>
  <c r="L13"/>
  <c r="M14"/>
  <c r="N15"/>
  <c r="N16"/>
  <c r="N17"/>
  <c r="L19"/>
  <c r="M20"/>
  <c r="N21"/>
  <c r="L10"/>
  <c r="M11"/>
  <c r="N12"/>
  <c r="L14"/>
  <c r="M15"/>
  <c r="M16"/>
  <c r="M17"/>
  <c r="N18"/>
  <c r="L13" i="6"/>
  <c r="K18"/>
  <c r="O18" s="1"/>
  <c r="P18" s="1"/>
  <c r="L19"/>
  <c r="J23"/>
  <c r="K13"/>
  <c r="L14"/>
  <c r="M21"/>
  <c r="N22"/>
  <c r="N8"/>
  <c r="N9"/>
  <c r="K10"/>
  <c r="O10" s="1"/>
  <c r="P10" s="1"/>
  <c r="L11"/>
  <c r="M12"/>
  <c r="N13"/>
  <c r="K14"/>
  <c r="L15"/>
  <c r="L16"/>
  <c r="L17"/>
  <c r="M18"/>
  <c r="N19"/>
  <c r="K20"/>
  <c r="L21"/>
  <c r="O21" s="1"/>
  <c r="P21" s="1"/>
  <c r="M22"/>
  <c r="L8"/>
  <c r="L9"/>
  <c r="K22"/>
  <c r="O22" s="1"/>
  <c r="P22" s="1"/>
  <c r="K8"/>
  <c r="K9"/>
  <c r="L10"/>
  <c r="M11"/>
  <c r="N12"/>
  <c r="M15"/>
  <c r="M16"/>
  <c r="M17"/>
  <c r="N18"/>
  <c r="K19"/>
  <c r="L20"/>
  <c r="G6"/>
  <c r="M8"/>
  <c r="M9"/>
  <c r="N10"/>
  <c r="K11"/>
  <c r="O11" s="1"/>
  <c r="P11" s="1"/>
  <c r="L12"/>
  <c r="O12" s="1"/>
  <c r="P12" s="1"/>
  <c r="M13"/>
  <c r="N14"/>
  <c r="K15"/>
  <c r="O15" s="1"/>
  <c r="P15" s="1"/>
  <c r="K16"/>
  <c r="O16" s="1"/>
  <c r="P16" s="1"/>
  <c r="K17"/>
  <c r="O17" s="1"/>
  <c r="P17" s="1"/>
  <c r="L18"/>
  <c r="G24" i="3"/>
  <c r="G26"/>
  <c r="F24"/>
  <c r="F27" s="1"/>
  <c r="F30" s="1"/>
  <c r="F31" s="1"/>
  <c r="F33" s="1"/>
  <c r="F34" s="1"/>
  <c r="H26"/>
  <c r="E24"/>
  <c r="E26"/>
  <c r="H24"/>
  <c r="K16" i="2"/>
  <c r="K13"/>
  <c r="K10"/>
  <c r="K8"/>
  <c r="K12"/>
  <c r="K19"/>
  <c r="N11"/>
  <c r="N14"/>
  <c r="G6"/>
  <c r="M9"/>
  <c r="M15"/>
  <c r="M17"/>
  <c r="N10"/>
  <c r="N13"/>
  <c r="N16"/>
  <c r="K18"/>
  <c r="N19"/>
  <c r="M8"/>
  <c r="N9"/>
  <c r="L10"/>
  <c r="K11"/>
  <c r="M12"/>
  <c r="L13"/>
  <c r="K14"/>
  <c r="N15"/>
  <c r="L16"/>
  <c r="N17"/>
  <c r="M18"/>
  <c r="L19"/>
  <c r="K20"/>
  <c r="N21"/>
  <c r="M22"/>
  <c r="M21"/>
  <c r="M11"/>
  <c r="M14"/>
  <c r="M20"/>
  <c r="K22"/>
  <c r="N8"/>
  <c r="K9"/>
  <c r="M10"/>
  <c r="L11"/>
  <c r="N12"/>
  <c r="M13"/>
  <c r="L14"/>
  <c r="K15"/>
  <c r="M16"/>
  <c r="K17"/>
  <c r="N18"/>
  <c r="M19"/>
  <c r="L20"/>
  <c r="K21"/>
  <c r="N22"/>
  <c r="R9" i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N15"/>
  <c r="N19"/>
  <c r="L8"/>
  <c r="L15"/>
  <c r="M21"/>
  <c r="O21" s="1"/>
  <c r="M17"/>
  <c r="M13"/>
  <c r="K9"/>
  <c r="O9" s="1"/>
  <c r="K18"/>
  <c r="O18" s="1"/>
  <c r="K10"/>
  <c r="K19"/>
  <c r="K15"/>
  <c r="K14"/>
  <c r="O14" s="1"/>
  <c r="K22"/>
  <c r="O22" s="1"/>
  <c r="K11"/>
  <c r="K20"/>
  <c r="K12"/>
  <c r="K8"/>
  <c r="K16"/>
  <c r="K21"/>
  <c r="K17"/>
  <c r="O17" s="1"/>
  <c r="P17" s="1"/>
  <c r="K13"/>
  <c r="N21"/>
  <c r="N16"/>
  <c r="N11"/>
  <c r="N8"/>
  <c r="N17"/>
  <c r="N12"/>
  <c r="N22"/>
  <c r="N18"/>
  <c r="N14"/>
  <c r="L20"/>
  <c r="L16"/>
  <c r="L12"/>
  <c r="G6"/>
  <c r="L21"/>
  <c r="L17"/>
  <c r="L13"/>
  <c r="O15"/>
  <c r="O10"/>
  <c r="O8" i="2" l="1"/>
  <c r="P8" s="1"/>
  <c r="Q8" s="1"/>
  <c r="O12" i="9"/>
  <c r="P12" s="1"/>
  <c r="P8"/>
  <c r="O9"/>
  <c r="P9" s="1"/>
  <c r="O18"/>
  <c r="P18" s="1"/>
  <c r="O15"/>
  <c r="P15" s="1"/>
  <c r="O11"/>
  <c r="P11" s="1"/>
  <c r="O14"/>
  <c r="P14" s="1"/>
  <c r="O10"/>
  <c r="P10" s="1"/>
  <c r="O22"/>
  <c r="P22" s="1"/>
  <c r="O16"/>
  <c r="P16" s="1"/>
  <c r="O13"/>
  <c r="P13" s="1"/>
  <c r="O16" i="8"/>
  <c r="P16" s="1"/>
  <c r="O22"/>
  <c r="P22" s="1"/>
  <c r="O17"/>
  <c r="P17" s="1"/>
  <c r="O10"/>
  <c r="P10" s="1"/>
  <c r="O20"/>
  <c r="P20" s="1"/>
  <c r="O15"/>
  <c r="P15" s="1"/>
  <c r="O18"/>
  <c r="P18" s="1"/>
  <c r="O11"/>
  <c r="P11" s="1"/>
  <c r="O8"/>
  <c r="O12"/>
  <c r="P12" s="1"/>
  <c r="O14"/>
  <c r="P14" s="1"/>
  <c r="O21"/>
  <c r="P21" s="1"/>
  <c r="O19"/>
  <c r="P19" s="1"/>
  <c r="O17" i="7"/>
  <c r="P17" s="1"/>
  <c r="O14"/>
  <c r="P14" s="1"/>
  <c r="O16"/>
  <c r="P16" s="1"/>
  <c r="O13"/>
  <c r="P13" s="1"/>
  <c r="O10"/>
  <c r="P10" s="1"/>
  <c r="O15"/>
  <c r="P15" s="1"/>
  <c r="O12"/>
  <c r="P12" s="1"/>
  <c r="O9"/>
  <c r="P9" s="1"/>
  <c r="O11"/>
  <c r="P11" s="1"/>
  <c r="O21"/>
  <c r="P21" s="1"/>
  <c r="O8"/>
  <c r="O20"/>
  <c r="P20" s="1"/>
  <c r="O22"/>
  <c r="P22" s="1"/>
  <c r="O19"/>
  <c r="P19" s="1"/>
  <c r="O8" i="6"/>
  <c r="O14"/>
  <c r="P14" s="1"/>
  <c r="O19"/>
  <c r="P19" s="1"/>
  <c r="O9"/>
  <c r="P9" s="1"/>
  <c r="O20"/>
  <c r="P20" s="1"/>
  <c r="O13"/>
  <c r="P13" s="1"/>
  <c r="O15" i="2"/>
  <c r="P15" s="1"/>
  <c r="E27" i="3"/>
  <c r="E30" s="1"/>
  <c r="E31" s="1"/>
  <c r="E33" s="1"/>
  <c r="E34" s="1"/>
  <c r="G27"/>
  <c r="G30" s="1"/>
  <c r="G31" s="1"/>
  <c r="H27"/>
  <c r="H30" s="1"/>
  <c r="H31" s="1"/>
  <c r="H33" s="1"/>
  <c r="H34" s="1"/>
  <c r="O14" i="2"/>
  <c r="P14" s="1"/>
  <c r="O16"/>
  <c r="P16" s="1"/>
  <c r="O12"/>
  <c r="P12" s="1"/>
  <c r="O10"/>
  <c r="P10" s="1"/>
  <c r="O21"/>
  <c r="P21" s="1"/>
  <c r="O17"/>
  <c r="O13"/>
  <c r="P13" s="1"/>
  <c r="O19"/>
  <c r="P19" s="1"/>
  <c r="O11"/>
  <c r="P11" s="1"/>
  <c r="O9"/>
  <c r="P9" s="1"/>
  <c r="O20"/>
  <c r="P20" s="1"/>
  <c r="O22"/>
  <c r="P22" s="1"/>
  <c r="O18"/>
  <c r="P18" s="1"/>
  <c r="O20" i="1"/>
  <c r="O19"/>
  <c r="O13"/>
  <c r="O11"/>
  <c r="O12"/>
  <c r="O16"/>
  <c r="O8"/>
  <c r="R22" i="9" l="1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P23" s="1"/>
  <c r="P25" s="1"/>
  <c r="O23"/>
  <c r="P8" i="8"/>
  <c r="O23"/>
  <c r="P8" i="7"/>
  <c r="O23"/>
  <c r="O23" i="6"/>
  <c r="P8"/>
  <c r="Q9" i="2"/>
  <c r="Q10" s="1"/>
  <c r="Q11" s="1"/>
  <c r="Q12" s="1"/>
  <c r="Q13" s="1"/>
  <c r="Q14" s="1"/>
  <c r="Q15" s="1"/>
  <c r="Q16" s="1"/>
  <c r="P17"/>
  <c r="R22" s="1"/>
  <c r="O23"/>
  <c r="T8" i="1"/>
  <c r="P28" i="9" l="1"/>
  <c r="P29"/>
  <c r="R22" i="8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P23" s="1"/>
  <c r="P25" s="1"/>
  <c r="R22" i="7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P23" s="1"/>
  <c r="P25" s="1"/>
  <c r="R22" i="6"/>
  <c r="Q8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P23" s="1"/>
  <c r="P25" s="1"/>
  <c r="Q17" i="2"/>
  <c r="Q18" s="1"/>
  <c r="Q19" s="1"/>
  <c r="Q20" s="1"/>
  <c r="Q21" s="1"/>
  <c r="Q22" s="1"/>
  <c r="P23" s="1"/>
  <c r="P25" s="1"/>
  <c r="P28" s="1"/>
  <c r="T9" i="1"/>
  <c r="T10" s="1"/>
  <c r="T11" s="1"/>
  <c r="P29" i="8" l="1"/>
  <c r="P28"/>
  <c r="T12" i="1"/>
  <c r="S12"/>
  <c r="T13" l="1"/>
  <c r="S13"/>
  <c r="T14" l="1"/>
  <c r="S14"/>
  <c r="T15" l="1"/>
  <c r="S15"/>
  <c r="T16" l="1"/>
  <c r="S16"/>
  <c r="T17" l="1"/>
  <c r="S17"/>
  <c r="T18" l="1"/>
  <c r="S18"/>
  <c r="T19" l="1"/>
  <c r="S19"/>
  <c r="T20" l="1"/>
  <c r="S20"/>
  <c r="T21" l="1"/>
  <c r="S22" s="1"/>
  <c r="S21"/>
  <c r="T22" l="1"/>
  <c r="P33"/>
  <c r="T23" l="1"/>
  <c r="S23"/>
  <c r="T24" l="1"/>
  <c r="S24"/>
  <c r="T25" l="1"/>
  <c r="S25"/>
  <c r="T26" l="1"/>
  <c r="S26"/>
  <c r="T27" l="1"/>
  <c r="S27"/>
  <c r="T28" l="1"/>
  <c r="S28"/>
  <c r="T29" l="1"/>
  <c r="S29"/>
  <c r="T30" l="1"/>
  <c r="S30"/>
  <c r="T31" l="1"/>
  <c r="S31"/>
  <c r="T32" l="1"/>
  <c r="S32"/>
</calcChain>
</file>

<file path=xl/sharedStrings.xml><?xml version="1.0" encoding="utf-8"?>
<sst xmlns="http://schemas.openxmlformats.org/spreadsheetml/2006/main" count="753" uniqueCount="263">
  <si>
    <t>項目</t>
    <phoneticPr fontId="1"/>
  </si>
  <si>
    <t>（千円）</t>
    <phoneticPr fontId="1"/>
  </si>
  <si>
    <t>初期投資</t>
    <phoneticPr fontId="1"/>
  </si>
  <si>
    <t>建物</t>
    <phoneticPr fontId="1"/>
  </si>
  <si>
    <t>機械設備</t>
    <phoneticPr fontId="1"/>
  </si>
  <si>
    <t>資金調達</t>
    <phoneticPr fontId="1"/>
  </si>
  <si>
    <t>自己資金</t>
    <phoneticPr fontId="1"/>
  </si>
  <si>
    <t>長期借入金</t>
    <phoneticPr fontId="1"/>
  </si>
  <si>
    <t>補助金</t>
    <phoneticPr fontId="1"/>
  </si>
  <si>
    <t>再投資</t>
    <phoneticPr fontId="1"/>
  </si>
  <si>
    <t>10年目に発生</t>
    <phoneticPr fontId="1"/>
  </si>
  <si>
    <t>建物付属設備</t>
    <phoneticPr fontId="1"/>
  </si>
  <si>
    <t>構築物、外構</t>
    <phoneticPr fontId="1"/>
  </si>
  <si>
    <t>その他装置</t>
    <phoneticPr fontId="1"/>
  </si>
  <si>
    <t>30年</t>
    <phoneticPr fontId="1"/>
  </si>
  <si>
    <t>15年</t>
    <phoneticPr fontId="1"/>
  </si>
  <si>
    <t>13年</t>
    <phoneticPr fontId="1"/>
  </si>
  <si>
    <t>10年</t>
    <phoneticPr fontId="1"/>
  </si>
  <si>
    <t>【償却耐用年数】</t>
    <phoneticPr fontId="1"/>
  </si>
  <si>
    <t>年間収入</t>
    <phoneticPr fontId="1"/>
  </si>
  <si>
    <t>汚泥処理収入</t>
    <phoneticPr fontId="1"/>
  </si>
  <si>
    <t>廃プラ購入</t>
    <phoneticPr fontId="1"/>
  </si>
  <si>
    <t>製品販売収入</t>
    <phoneticPr fontId="1"/>
  </si>
  <si>
    <t>【合計】</t>
    <phoneticPr fontId="1"/>
  </si>
  <si>
    <t>人件費</t>
    <phoneticPr fontId="1"/>
  </si>
  <si>
    <t>電力費</t>
    <phoneticPr fontId="1"/>
  </si>
  <si>
    <t>燃料・水道費</t>
    <phoneticPr fontId="1"/>
  </si>
  <si>
    <t>機械点検補修</t>
    <phoneticPr fontId="1"/>
  </si>
  <si>
    <t>建物点検補修</t>
    <phoneticPr fontId="1"/>
  </si>
  <si>
    <t>副資材他</t>
    <phoneticPr fontId="1"/>
  </si>
  <si>
    <t>リース料</t>
    <phoneticPr fontId="1"/>
  </si>
  <si>
    <t>固定資産税</t>
    <phoneticPr fontId="1"/>
  </si>
  <si>
    <t>一般管理費</t>
    <phoneticPr fontId="1"/>
  </si>
  <si>
    <t>借入金返済（平均）</t>
    <phoneticPr fontId="1"/>
  </si>
  <si>
    <t>減価償却費</t>
    <phoneticPr fontId="1"/>
  </si>
  <si>
    <t>～９年</t>
    <phoneticPr fontId="1"/>
  </si>
  <si>
    <t>11年～</t>
    <phoneticPr fontId="1"/>
  </si>
  <si>
    <t>年間支出</t>
    <phoneticPr fontId="1"/>
  </si>
  <si>
    <t>(汚泥処理量)6000トン/年　(汚泥処理費)28千円/トン　（補助率）33%</t>
    <phoneticPr fontId="1"/>
  </si>
  <si>
    <t>投資</t>
    <phoneticPr fontId="1"/>
  </si>
  <si>
    <t>経費</t>
    <phoneticPr fontId="1"/>
  </si>
  <si>
    <t>廃プラ</t>
    <phoneticPr fontId="1"/>
  </si>
  <si>
    <t>汚泥処理量</t>
    <phoneticPr fontId="1"/>
  </si>
  <si>
    <t>製品販売</t>
    <phoneticPr fontId="1"/>
  </si>
  <si>
    <t>費用計</t>
    <phoneticPr fontId="1"/>
  </si>
  <si>
    <t>費用現在価格</t>
    <phoneticPr fontId="1"/>
  </si>
  <si>
    <t>計</t>
    <phoneticPr fontId="1"/>
  </si>
  <si>
    <t>割引率</t>
    <phoneticPr fontId="1"/>
  </si>
  <si>
    <t>t/y</t>
    <phoneticPr fontId="1"/>
  </si>
  <si>
    <t>yen/t</t>
    <phoneticPr fontId="1"/>
  </si>
  <si>
    <t>金利</t>
    <phoneticPr fontId="1"/>
  </si>
  <si>
    <t>汚泥</t>
    <phoneticPr fontId="1"/>
  </si>
  <si>
    <t>廃プラ</t>
    <phoneticPr fontId="1"/>
  </si>
  <si>
    <t>販売価格</t>
    <phoneticPr fontId="1"/>
  </si>
  <si>
    <t>汚泥処理量</t>
    <phoneticPr fontId="1"/>
  </si>
  <si>
    <t>固形化燃料</t>
    <phoneticPr fontId="1"/>
  </si>
  <si>
    <t>1-9</t>
    <phoneticPr fontId="1"/>
  </si>
  <si>
    <t>11-</t>
    <phoneticPr fontId="1"/>
  </si>
  <si>
    <r>
      <rPr>
        <sz val="11"/>
        <color theme="1"/>
        <rFont val="ＭＳ Ｐゴシック"/>
        <family val="2"/>
        <charset val="128"/>
      </rPr>
      <t>計</t>
    </r>
    <phoneticPr fontId="1"/>
  </si>
  <si>
    <r>
      <t>(</t>
    </r>
    <r>
      <rPr>
        <sz val="11"/>
        <color theme="1"/>
        <rFont val="ＭＳ Ｐゴシック"/>
        <family val="2"/>
        <charset val="128"/>
      </rPr>
      <t>汚泥処理量</t>
    </r>
    <r>
      <rPr>
        <sz val="11"/>
        <color theme="1"/>
        <rFont val="Century"/>
        <family val="1"/>
      </rPr>
      <t>)6000</t>
    </r>
    <r>
      <rPr>
        <sz val="11"/>
        <color theme="1"/>
        <rFont val="ＭＳ Ｐゴシック"/>
        <family val="2"/>
        <charset val="128"/>
      </rPr>
      <t>トン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年　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2"/>
        <charset val="128"/>
      </rPr>
      <t>汚泥処理費</t>
    </r>
    <r>
      <rPr>
        <sz val="11"/>
        <color theme="1"/>
        <rFont val="Century"/>
        <family val="1"/>
      </rPr>
      <t>)28</t>
    </r>
    <r>
      <rPr>
        <sz val="11"/>
        <color theme="1"/>
        <rFont val="ＭＳ Ｐゴシック"/>
        <family val="2"/>
        <charset val="128"/>
      </rPr>
      <t>千円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トン　（補助率）</t>
    </r>
    <r>
      <rPr>
        <sz val="11"/>
        <color theme="1"/>
        <rFont val="Century"/>
        <family val="1"/>
      </rPr>
      <t>33%</t>
    </r>
    <phoneticPr fontId="1"/>
  </si>
  <si>
    <r>
      <rPr>
        <sz val="11"/>
        <color theme="1"/>
        <rFont val="ＭＳ Ｐゴシック"/>
        <family val="2"/>
        <charset val="128"/>
      </rPr>
      <t>汚泥</t>
    </r>
    <phoneticPr fontId="1"/>
  </si>
  <si>
    <r>
      <rPr>
        <sz val="11"/>
        <color theme="1"/>
        <rFont val="ＭＳ Ｐゴシック"/>
        <family val="2"/>
        <charset val="128"/>
      </rPr>
      <t>汚泥処理量</t>
    </r>
    <phoneticPr fontId="1"/>
  </si>
  <si>
    <r>
      <rPr>
        <sz val="11"/>
        <color theme="1"/>
        <rFont val="ＭＳ Ｐゴシック"/>
        <family val="2"/>
        <charset val="128"/>
      </rPr>
      <t>項目</t>
    </r>
    <phoneticPr fontId="1"/>
  </si>
  <si>
    <r>
      <rPr>
        <sz val="11"/>
        <color theme="1"/>
        <rFont val="ＭＳ Ｐゴシック"/>
        <family val="2"/>
        <charset val="128"/>
      </rPr>
      <t>（千円）</t>
    </r>
    <phoneticPr fontId="1"/>
  </si>
  <si>
    <r>
      <rPr>
        <sz val="11"/>
        <color theme="1"/>
        <rFont val="ＭＳ Ｐゴシック"/>
        <family val="2"/>
        <charset val="128"/>
      </rPr>
      <t>固形化燃料</t>
    </r>
    <phoneticPr fontId="1"/>
  </si>
  <si>
    <r>
      <rPr>
        <sz val="11"/>
        <color theme="1"/>
        <rFont val="ＭＳ Ｐゴシック"/>
        <family val="2"/>
        <charset val="128"/>
      </rPr>
      <t>金利</t>
    </r>
    <phoneticPr fontId="1"/>
  </si>
  <si>
    <r>
      <rPr>
        <sz val="11"/>
        <color theme="1"/>
        <rFont val="ＭＳ Ｐゴシック"/>
        <family val="2"/>
        <charset val="128"/>
      </rPr>
      <t>初期投資</t>
    </r>
    <phoneticPr fontId="1"/>
  </si>
  <si>
    <r>
      <rPr>
        <sz val="11"/>
        <color theme="1"/>
        <rFont val="ＭＳ Ｐゴシック"/>
        <family val="2"/>
        <charset val="128"/>
      </rPr>
      <t>建物</t>
    </r>
    <phoneticPr fontId="1"/>
  </si>
  <si>
    <r>
      <rPr>
        <sz val="11"/>
        <color theme="1"/>
        <rFont val="ＭＳ Ｐゴシック"/>
        <family val="2"/>
        <charset val="128"/>
      </rPr>
      <t>年間収入</t>
    </r>
    <phoneticPr fontId="1"/>
  </si>
  <si>
    <r>
      <rPr>
        <sz val="11"/>
        <color theme="1"/>
        <rFont val="ＭＳ Ｐゴシック"/>
        <family val="2"/>
        <charset val="128"/>
      </rPr>
      <t>汚泥処理収入</t>
    </r>
    <phoneticPr fontId="1"/>
  </si>
  <si>
    <r>
      <rPr>
        <sz val="11"/>
        <color theme="1"/>
        <rFont val="ＭＳ Ｐゴシック"/>
        <family val="2"/>
        <charset val="128"/>
      </rPr>
      <t>割引率</t>
    </r>
    <phoneticPr fontId="1"/>
  </si>
  <si>
    <r>
      <rPr>
        <sz val="11"/>
        <color theme="1"/>
        <rFont val="ＭＳ Ｐゴシック"/>
        <family val="2"/>
        <charset val="128"/>
      </rPr>
      <t>機械設備</t>
    </r>
    <phoneticPr fontId="1"/>
  </si>
  <si>
    <r>
      <rPr>
        <sz val="11"/>
        <color theme="1"/>
        <rFont val="ＭＳ Ｐゴシック"/>
        <family val="2"/>
        <charset val="128"/>
      </rPr>
      <t>廃プラ購入</t>
    </r>
    <phoneticPr fontId="1"/>
  </si>
  <si>
    <r>
      <rPr>
        <sz val="11"/>
        <color theme="1"/>
        <rFont val="ＭＳ Ｐゴシック"/>
        <family val="2"/>
        <charset val="128"/>
      </rPr>
      <t>廃プラ</t>
    </r>
    <phoneticPr fontId="1"/>
  </si>
  <si>
    <r>
      <rPr>
        <sz val="11"/>
        <color theme="1"/>
        <rFont val="ＭＳ Ｐゴシック"/>
        <family val="2"/>
        <charset val="128"/>
      </rPr>
      <t>販売価格</t>
    </r>
    <phoneticPr fontId="1"/>
  </si>
  <si>
    <r>
      <rPr>
        <sz val="11"/>
        <color theme="1"/>
        <rFont val="ＭＳ Ｐゴシック"/>
        <family val="2"/>
        <charset val="128"/>
      </rPr>
      <t>年価値分母</t>
    </r>
    <phoneticPr fontId="1"/>
  </si>
  <si>
    <r>
      <rPr>
        <sz val="11"/>
        <color theme="1"/>
        <rFont val="ＭＳ Ｐゴシック"/>
        <family val="2"/>
        <charset val="128"/>
      </rPr>
      <t>【合計】</t>
    </r>
    <phoneticPr fontId="1"/>
  </si>
  <si>
    <r>
      <rPr>
        <sz val="11"/>
        <color theme="1"/>
        <rFont val="ＭＳ Ｐゴシック"/>
        <family val="2"/>
        <charset val="128"/>
      </rPr>
      <t>製品販売収入</t>
    </r>
    <phoneticPr fontId="1"/>
  </si>
  <si>
    <r>
      <rPr>
        <sz val="11"/>
        <color theme="1"/>
        <rFont val="ＭＳ Ｐゴシック"/>
        <family val="2"/>
        <charset val="128"/>
      </rPr>
      <t>資金調達</t>
    </r>
    <phoneticPr fontId="1"/>
  </si>
  <si>
    <r>
      <rPr>
        <sz val="11"/>
        <color theme="1"/>
        <rFont val="ＭＳ Ｐゴシック"/>
        <family val="2"/>
        <charset val="128"/>
      </rPr>
      <t>自己資金</t>
    </r>
    <phoneticPr fontId="1"/>
  </si>
  <si>
    <r>
      <rPr>
        <sz val="11"/>
        <color theme="1"/>
        <rFont val="ＭＳ Ｐゴシック"/>
        <family val="2"/>
        <charset val="128"/>
      </rPr>
      <t>投資</t>
    </r>
    <phoneticPr fontId="1"/>
  </si>
  <si>
    <r>
      <rPr>
        <sz val="11"/>
        <color theme="1"/>
        <rFont val="ＭＳ Ｐゴシック"/>
        <family val="2"/>
        <charset val="128"/>
      </rPr>
      <t>経費</t>
    </r>
    <phoneticPr fontId="1"/>
  </si>
  <si>
    <r>
      <rPr>
        <sz val="11"/>
        <color theme="1"/>
        <rFont val="ＭＳ Ｐゴシック"/>
        <family val="2"/>
        <charset val="128"/>
      </rPr>
      <t>製品販売</t>
    </r>
    <phoneticPr fontId="1"/>
  </si>
  <si>
    <r>
      <rPr>
        <sz val="11"/>
        <color theme="1"/>
        <rFont val="ＭＳ Ｐゴシック"/>
        <family val="2"/>
        <charset val="128"/>
      </rPr>
      <t>費用計</t>
    </r>
    <phoneticPr fontId="1"/>
  </si>
  <si>
    <r>
      <rPr>
        <sz val="11"/>
        <color theme="1"/>
        <rFont val="ＭＳ Ｐゴシック"/>
        <family val="2"/>
        <charset val="128"/>
      </rPr>
      <t>費用現在価格</t>
    </r>
    <phoneticPr fontId="1"/>
  </si>
  <si>
    <r>
      <rPr>
        <sz val="11"/>
        <color theme="1"/>
        <rFont val="ＭＳ Ｐゴシック"/>
        <family val="2"/>
        <charset val="128"/>
      </rPr>
      <t>長期借入金</t>
    </r>
    <phoneticPr fontId="1"/>
  </si>
  <si>
    <r>
      <rPr>
        <sz val="11"/>
        <color theme="1"/>
        <rFont val="ＭＳ Ｐゴシック"/>
        <family val="2"/>
        <charset val="128"/>
      </rPr>
      <t>年間支出</t>
    </r>
    <phoneticPr fontId="1"/>
  </si>
  <si>
    <r>
      <rPr>
        <sz val="11"/>
        <color theme="1"/>
        <rFont val="ＭＳ Ｐゴシック"/>
        <family val="2"/>
        <charset val="128"/>
      </rPr>
      <t>人件費</t>
    </r>
    <phoneticPr fontId="1"/>
  </si>
  <si>
    <r>
      <rPr>
        <sz val="11"/>
        <color theme="1"/>
        <rFont val="ＭＳ Ｐゴシック"/>
        <family val="2"/>
        <charset val="128"/>
      </rPr>
      <t>補助金</t>
    </r>
    <phoneticPr fontId="1"/>
  </si>
  <si>
    <r>
      <rPr>
        <sz val="11"/>
        <color theme="1"/>
        <rFont val="ＭＳ Ｐゴシック"/>
        <family val="2"/>
        <charset val="128"/>
      </rPr>
      <t>電力費</t>
    </r>
    <phoneticPr fontId="1"/>
  </si>
  <si>
    <r>
      <rPr>
        <sz val="11"/>
        <color theme="1"/>
        <rFont val="ＭＳ Ｐゴシック"/>
        <family val="2"/>
        <charset val="128"/>
      </rPr>
      <t>燃料・水道費</t>
    </r>
    <phoneticPr fontId="1"/>
  </si>
  <si>
    <r>
      <rPr>
        <sz val="11"/>
        <color theme="1"/>
        <rFont val="ＭＳ Ｐゴシック"/>
        <family val="2"/>
        <charset val="128"/>
      </rPr>
      <t>再投資</t>
    </r>
    <phoneticPr fontId="1"/>
  </si>
  <si>
    <r>
      <t>10</t>
    </r>
    <r>
      <rPr>
        <sz val="11"/>
        <color theme="1"/>
        <rFont val="ＭＳ Ｐゴシック"/>
        <family val="2"/>
        <charset val="128"/>
      </rPr>
      <t>年目に発生</t>
    </r>
    <phoneticPr fontId="1"/>
  </si>
  <si>
    <r>
      <rPr>
        <sz val="11"/>
        <color theme="1"/>
        <rFont val="ＭＳ Ｐゴシック"/>
        <family val="2"/>
        <charset val="128"/>
      </rPr>
      <t>機械点検補修</t>
    </r>
    <phoneticPr fontId="1"/>
  </si>
  <si>
    <r>
      <rPr>
        <sz val="11"/>
        <color theme="1"/>
        <rFont val="ＭＳ Ｐゴシック"/>
        <family val="2"/>
        <charset val="128"/>
      </rPr>
      <t>【償却耐用年数】</t>
    </r>
    <phoneticPr fontId="1"/>
  </si>
  <si>
    <r>
      <rPr>
        <sz val="11"/>
        <color theme="1"/>
        <rFont val="ＭＳ Ｐゴシック"/>
        <family val="2"/>
        <charset val="128"/>
      </rPr>
      <t>建物点検補修</t>
    </r>
    <phoneticPr fontId="1"/>
  </si>
  <si>
    <r>
      <t>30</t>
    </r>
    <r>
      <rPr>
        <sz val="11"/>
        <color theme="1"/>
        <rFont val="ＭＳ Ｐゴシック"/>
        <family val="2"/>
        <charset val="128"/>
      </rPr>
      <t>年</t>
    </r>
    <phoneticPr fontId="1"/>
  </si>
  <si>
    <r>
      <rPr>
        <sz val="11"/>
        <color theme="1"/>
        <rFont val="ＭＳ Ｐゴシック"/>
        <family val="2"/>
        <charset val="128"/>
      </rPr>
      <t>副資材他</t>
    </r>
    <phoneticPr fontId="1"/>
  </si>
  <si>
    <r>
      <rPr>
        <sz val="11"/>
        <color theme="1"/>
        <rFont val="ＭＳ Ｐゴシック"/>
        <family val="2"/>
        <charset val="128"/>
      </rPr>
      <t>建物付属設備</t>
    </r>
    <phoneticPr fontId="1"/>
  </si>
  <si>
    <r>
      <t>15</t>
    </r>
    <r>
      <rPr>
        <sz val="11"/>
        <color theme="1"/>
        <rFont val="ＭＳ Ｐゴシック"/>
        <family val="2"/>
        <charset val="128"/>
      </rPr>
      <t>年</t>
    </r>
    <phoneticPr fontId="1"/>
  </si>
  <si>
    <r>
      <rPr>
        <sz val="11"/>
        <color theme="1"/>
        <rFont val="ＭＳ Ｐゴシック"/>
        <family val="2"/>
        <charset val="128"/>
      </rPr>
      <t>リース料</t>
    </r>
    <phoneticPr fontId="1"/>
  </si>
  <si>
    <r>
      <rPr>
        <sz val="11"/>
        <color theme="1"/>
        <rFont val="ＭＳ Ｐゴシック"/>
        <family val="2"/>
        <charset val="128"/>
      </rPr>
      <t>構築物、外構</t>
    </r>
    <phoneticPr fontId="1"/>
  </si>
  <si>
    <r>
      <t>13</t>
    </r>
    <r>
      <rPr>
        <sz val="11"/>
        <color theme="1"/>
        <rFont val="ＭＳ Ｐゴシック"/>
        <family val="2"/>
        <charset val="128"/>
      </rPr>
      <t>年</t>
    </r>
    <phoneticPr fontId="1"/>
  </si>
  <si>
    <r>
      <rPr>
        <sz val="11"/>
        <color theme="1"/>
        <rFont val="ＭＳ Ｐゴシック"/>
        <family val="2"/>
        <charset val="128"/>
      </rPr>
      <t>固定資産税</t>
    </r>
    <phoneticPr fontId="1"/>
  </si>
  <si>
    <r>
      <rPr>
        <sz val="11"/>
        <color theme="1"/>
        <rFont val="ＭＳ Ｐゴシック"/>
        <family val="2"/>
        <charset val="128"/>
      </rPr>
      <t>一般管理費</t>
    </r>
    <phoneticPr fontId="1"/>
  </si>
  <si>
    <r>
      <rPr>
        <sz val="11"/>
        <color theme="1"/>
        <rFont val="ＭＳ Ｐゴシック"/>
        <family val="2"/>
        <charset val="128"/>
      </rPr>
      <t>その他装置</t>
    </r>
    <phoneticPr fontId="1"/>
  </si>
  <si>
    <r>
      <t>10</t>
    </r>
    <r>
      <rPr>
        <sz val="11"/>
        <color theme="1"/>
        <rFont val="ＭＳ Ｐゴシック"/>
        <family val="2"/>
        <charset val="128"/>
      </rPr>
      <t>年</t>
    </r>
    <phoneticPr fontId="1"/>
  </si>
  <si>
    <r>
      <rPr>
        <sz val="11"/>
        <color theme="1"/>
        <rFont val="ＭＳ Ｐゴシック"/>
        <family val="2"/>
        <charset val="128"/>
      </rPr>
      <t>借入金返済（平均）</t>
    </r>
    <phoneticPr fontId="1"/>
  </si>
  <si>
    <r>
      <rPr>
        <sz val="11"/>
        <color theme="1"/>
        <rFont val="ＭＳ Ｐゴシック"/>
        <family val="2"/>
        <charset val="128"/>
      </rPr>
      <t>減価償却費</t>
    </r>
    <phoneticPr fontId="1"/>
  </si>
  <si>
    <r>
      <t>11</t>
    </r>
    <r>
      <rPr>
        <sz val="11"/>
        <color theme="1"/>
        <rFont val="ＭＳ Ｐゴシック"/>
        <family val="2"/>
        <charset val="128"/>
      </rPr>
      <t>年～</t>
    </r>
    <phoneticPr fontId="1"/>
  </si>
  <si>
    <r>
      <rPr>
        <sz val="11"/>
        <color theme="1"/>
        <rFont val="ＭＳ Ｐゴシック"/>
        <family val="2"/>
        <charset val="128"/>
      </rPr>
      <t>年価値</t>
    </r>
    <phoneticPr fontId="1"/>
  </si>
  <si>
    <r>
      <rPr>
        <sz val="11"/>
        <color theme="1"/>
        <rFont val="ＭＳ Ｐゴシック"/>
        <family val="2"/>
        <charset val="128"/>
      </rPr>
      <t>年間</t>
    </r>
    <r>
      <rPr>
        <sz val="11"/>
        <color theme="1"/>
        <rFont val="Century"/>
        <family val="1"/>
      </rPr>
      <t>CO2</t>
    </r>
    <r>
      <rPr>
        <sz val="11"/>
        <color theme="1"/>
        <rFont val="ＭＳ Ｐゴシック"/>
        <family val="2"/>
        <charset val="128"/>
      </rPr>
      <t>削減量１</t>
    </r>
    <phoneticPr fontId="1"/>
  </si>
  <si>
    <r>
      <rPr>
        <sz val="11"/>
        <color theme="1"/>
        <rFont val="ＭＳ Ｐゴシック"/>
        <family val="2"/>
        <charset val="128"/>
      </rPr>
      <t>年間</t>
    </r>
    <r>
      <rPr>
        <sz val="11"/>
        <color theme="1"/>
        <rFont val="Century"/>
        <family val="1"/>
      </rPr>
      <t>CO2</t>
    </r>
    <r>
      <rPr>
        <sz val="11"/>
        <color theme="1"/>
        <rFont val="ＭＳ Ｐゴシック"/>
        <family val="2"/>
        <charset val="128"/>
      </rPr>
      <t>削減量２</t>
    </r>
  </si>
  <si>
    <r>
      <rPr>
        <sz val="11"/>
        <color theme="1"/>
        <rFont val="ＭＳ Ｐゴシック"/>
        <family val="2"/>
        <charset val="128"/>
      </rPr>
      <t>～</t>
    </r>
    <r>
      <rPr>
        <sz val="11"/>
        <color theme="1"/>
        <rFont val="Century"/>
        <family val="1"/>
      </rPr>
      <t>9</t>
    </r>
    <r>
      <rPr>
        <sz val="11"/>
        <color theme="1"/>
        <rFont val="ＭＳ Ｐゴシック"/>
        <family val="2"/>
        <charset val="128"/>
      </rPr>
      <t>年</t>
    </r>
    <phoneticPr fontId="1"/>
  </si>
  <si>
    <t>t</t>
    <phoneticPr fontId="1"/>
  </si>
  <si>
    <t>項目</t>
    <phoneticPr fontId="1"/>
  </si>
  <si>
    <t>造粒方式</t>
    <phoneticPr fontId="1"/>
  </si>
  <si>
    <t>炭化方式</t>
    <phoneticPr fontId="1"/>
  </si>
  <si>
    <t>発酵乾燥・固形化方式</t>
    <phoneticPr fontId="1"/>
  </si>
  <si>
    <t>一次製品（発酵乾燥物）</t>
    <phoneticPr fontId="1"/>
  </si>
  <si>
    <t>二次製品（廃プラ10％混入）</t>
    <phoneticPr fontId="1"/>
  </si>
  <si>
    <t>イニシャルコスト（50t/日以下の小規模施設での稼働）※数的根拠がはっきりしているデータでの検証</t>
    <phoneticPr fontId="1"/>
  </si>
  <si>
    <t>施設単価※処理能力（t/日）当たりの単価</t>
    <phoneticPr fontId="1"/>
  </si>
  <si>
    <t>処理能力（t/日施設）</t>
    <phoneticPr fontId="1"/>
  </si>
  <si>
    <t>施設費用（円）</t>
    <phoneticPr fontId="1"/>
  </si>
  <si>
    <t>維持管理費用計（円/年）</t>
    <phoneticPr fontId="1"/>
  </si>
  <si>
    <t>処理単価※製造処理単位（1t）当たりの単価（6000t）（円/t）</t>
    <phoneticPr fontId="1"/>
  </si>
  <si>
    <t>ランニングコスト（下水汚泥6000t/年の場合）</t>
    <phoneticPr fontId="1"/>
  </si>
  <si>
    <t>燃料</t>
  </si>
  <si>
    <t>燃料</t>
    <phoneticPr fontId="1"/>
  </si>
  <si>
    <t>A重油</t>
    <phoneticPr fontId="1"/>
  </si>
  <si>
    <t>Ａ重油</t>
    <phoneticPr fontId="1"/>
  </si>
  <si>
    <t>軽油（重機用）</t>
    <phoneticPr fontId="1"/>
  </si>
  <si>
    <t>（kℓ/年）</t>
    <phoneticPr fontId="1"/>
  </si>
  <si>
    <t>（GJ/年）（39.1MJ/ℓ）</t>
    <phoneticPr fontId="1"/>
  </si>
  <si>
    <t>（GJ/年）（38.2MJ/ℓ）</t>
    <phoneticPr fontId="1"/>
  </si>
  <si>
    <t>消費電力</t>
    <phoneticPr fontId="1"/>
  </si>
  <si>
    <t>MWh/年</t>
    <phoneticPr fontId="1"/>
  </si>
  <si>
    <t>GJ/年</t>
    <phoneticPr fontId="1"/>
  </si>
  <si>
    <t>合計</t>
    <phoneticPr fontId="1"/>
  </si>
  <si>
    <t>製品エネルギー</t>
    <phoneticPr fontId="1"/>
  </si>
  <si>
    <t>製造量</t>
    <phoneticPr fontId="1"/>
  </si>
  <si>
    <t>回収分</t>
    <phoneticPr fontId="1"/>
  </si>
  <si>
    <t>回収率</t>
    <phoneticPr fontId="1"/>
  </si>
  <si>
    <t>％</t>
    <phoneticPr fontId="1"/>
  </si>
  <si>
    <t>投入エネルギー（下水汚泥6000t/年の場合）</t>
    <phoneticPr fontId="1"/>
  </si>
  <si>
    <t>t-CO2/年</t>
    <phoneticPr fontId="1"/>
  </si>
  <si>
    <t>CO2排出量（下水汚泥6000t/年の場合）※下水汚泥は消化脱水汚泥※消費電力のCO2排出係数は、北陸電力の調整後：H23年度5.46×10-4t-CO2/kWhを採用</t>
    <phoneticPr fontId="1"/>
  </si>
  <si>
    <t>計</t>
    <phoneticPr fontId="1"/>
  </si>
  <si>
    <t>CO2削減量（下水汚泥6000t/年の場合）※下水汚泥は消化脱水汚泥※消費電力のCO2排出係数は、北陸電力の調整後：H23年度5.46×10-4t-CO2/kWhを採用</t>
    <phoneticPr fontId="1"/>
  </si>
  <si>
    <t>石炭代替による削減量</t>
    <phoneticPr fontId="1"/>
  </si>
  <si>
    <t>投入エネルギーによる排出量</t>
    <phoneticPr fontId="1"/>
  </si>
  <si>
    <t>排出削減量</t>
    <phoneticPr fontId="1"/>
  </si>
  <si>
    <t>CO2を1t削減するのに要する費用（下水汚泥6000t/年の場合）</t>
    <phoneticPr fontId="1"/>
  </si>
  <si>
    <t>維持管理費計</t>
    <phoneticPr fontId="1"/>
  </si>
  <si>
    <t>CO2削減コスト</t>
    <phoneticPr fontId="1"/>
  </si>
  <si>
    <t>kg-CO2/千円</t>
    <phoneticPr fontId="1"/>
  </si>
  <si>
    <t>円/年</t>
    <phoneticPr fontId="1"/>
  </si>
  <si>
    <t>付表－１ エネルギー単位熱量</t>
  </si>
  <si>
    <t>出典；「省エネ法」省令別表を</t>
  </si>
  <si>
    <t>参考に作成しました。</t>
  </si>
  <si>
    <t>Ａ重油39.1 MJ/L</t>
  </si>
  <si>
    <t>オイル</t>
  </si>
  <si>
    <t>上記以外の電力9.76 MJ/kWh</t>
  </si>
  <si>
    <t>蒸気（産業用を除く） 1.36 MJ/MJ</t>
  </si>
  <si>
    <t>軽油38.2 MJ/L</t>
  </si>
  <si>
    <t>灯油36.7 MJ/L</t>
  </si>
  <si>
    <t>液化石油LPG 50.2 MJ/kg</t>
  </si>
  <si>
    <t>ガス</t>
  </si>
  <si>
    <t>熱供給事業者・供給区域ごとの単位</t>
  </si>
  <si>
    <t>発熱量を用いてもよい。</t>
  </si>
  <si>
    <t>熱温水1.36 MJ/MJ</t>
  </si>
  <si>
    <t>5C 18.8 MJ/m3</t>
  </si>
  <si>
    <t>冷水1.36 MJ/MJ</t>
  </si>
  <si>
    <t>6A 29.3 MJ/m3</t>
  </si>
  <si>
    <t>12A 41.9 MJ/m3</t>
  </si>
  <si>
    <t>都市ガス13A 46.1 MJ/m3 ガス会社ごとの単位発熱量とする。</t>
  </si>
  <si>
    <t>自家発電事業者の実測値（又は9.76 MJ/kWh）</t>
  </si>
  <si>
    <t>夜間電力9.28 MJ/kWh</t>
  </si>
  <si>
    <t>昼間電力9.97 MJ/kWh</t>
  </si>
  <si>
    <t>電力</t>
  </si>
  <si>
    <t>B・C重油４１.７ MJ/L ＊建物で使用される頻度は少ない</t>
  </si>
  <si>
    <t>6B 20.9 MJ/m3</t>
  </si>
  <si>
    <t>エネルギー単位発熱量備考</t>
  </si>
  <si>
    <t>事業者名</t>
  </si>
  <si>
    <t>排出係数</t>
  </si>
  <si>
    <r>
      <t>(kg-CO</t>
    </r>
    <r>
      <rPr>
        <sz val="8.8000000000000007"/>
        <color rgb="FF000000"/>
        <rFont val="ＭＳ Ｐゴシック"/>
        <family val="3"/>
        <charset val="128"/>
        <scheme val="minor"/>
      </rPr>
      <t>2</t>
    </r>
    <r>
      <rPr>
        <sz val="11"/>
        <color rgb="FF000000"/>
        <rFont val="ＭＳ Ｐゴシック"/>
        <family val="3"/>
        <charset val="128"/>
        <scheme val="minor"/>
      </rPr>
      <t>/kWh)</t>
    </r>
  </si>
  <si>
    <t>北海道電力株式会社</t>
  </si>
  <si>
    <t>東北電力株式会社</t>
  </si>
  <si>
    <t>東京電力株式会社</t>
  </si>
  <si>
    <t>中部電力株式会社</t>
  </si>
  <si>
    <t>北陸電力株式会社</t>
  </si>
  <si>
    <t>関西電力株式会社</t>
  </si>
  <si>
    <t>中国電力株式会社</t>
  </si>
  <si>
    <t>四国電力株式会社</t>
  </si>
  <si>
    <t>九州電力株式会社</t>
  </si>
  <si>
    <t>沖縄電力株式会社</t>
  </si>
  <si>
    <t>イーレックス株式会社</t>
  </si>
  <si>
    <t>出光グリーンパワー株式会社</t>
  </si>
  <si>
    <t>伊藤忠エネクス株式会社</t>
  </si>
  <si>
    <t>エネサーブ株式会社</t>
  </si>
  <si>
    <t>荏原環境プラント株式会社</t>
  </si>
  <si>
    <t>王子製紙株式会社</t>
  </si>
  <si>
    <t>オリックス株式会社</t>
  </si>
  <si>
    <t>株式会社エネット</t>
  </si>
  <si>
    <t>株式会社Ｆ－Ｐｏｗｅｒ</t>
  </si>
  <si>
    <t>株式会社Ｇ－Ｐｏｗｅｒ</t>
  </si>
  <si>
    <t>株式会社日本セレモニー</t>
  </si>
  <si>
    <t>株式会社ミスターマックス</t>
  </si>
  <si>
    <t>サミットエナジー株式会社</t>
  </si>
  <si>
    <t>ＪＸ日鉱日石エネルギー株式会社</t>
  </si>
  <si>
    <t>ＪＥＮホールディングス株式会社</t>
  </si>
  <si>
    <t>志賀高原リゾート開発株式会社</t>
  </si>
  <si>
    <t>昭和シェル石油株式会社</t>
  </si>
  <si>
    <t>新日鉄住金エンジニアリング株式会社</t>
  </si>
  <si>
    <t>泉北天然ガス発電株式会社</t>
  </si>
  <si>
    <t>ダイヤモンドパワー株式会社</t>
  </si>
  <si>
    <t>テス・エンジニアリング株式会社</t>
  </si>
  <si>
    <t>東京エコサービス株式会社</t>
  </si>
  <si>
    <t>日本テクノ株式会社</t>
  </si>
  <si>
    <t>日本ロジテック協同組合</t>
  </si>
  <si>
    <t>パナソニック株式会社</t>
  </si>
  <si>
    <t>プレミアムグリーンパワー株式会社</t>
  </si>
  <si>
    <t>丸紅株式会社</t>
  </si>
  <si>
    <t>ミツウロコグリーンエネルギー株式会社</t>
  </si>
  <si>
    <t>実排出係数</t>
  </si>
  <si>
    <r>
      <t>(t-CO</t>
    </r>
    <r>
      <rPr>
        <sz val="8.8000000000000007"/>
        <color rgb="FF000000"/>
        <rFont val="ＭＳ Ｐゴシック"/>
        <family val="3"/>
        <charset val="128"/>
        <scheme val="minor"/>
      </rPr>
      <t>2</t>
    </r>
    <r>
      <rPr>
        <sz val="11"/>
        <color rgb="FF000000"/>
        <rFont val="ＭＳ Ｐゴシック"/>
        <family val="3"/>
        <charset val="128"/>
        <scheme val="minor"/>
      </rPr>
      <t>/kWh)</t>
    </r>
  </si>
  <si>
    <t>調整後排出係数</t>
  </si>
  <si>
    <t>H23</t>
    <phoneticPr fontId="1"/>
  </si>
  <si>
    <t>(t-CO2/kWh)</t>
  </si>
  <si>
    <t>株式会社島忠</t>
  </si>
  <si>
    <t>株式会社武蔵野ホールディングス</t>
  </si>
  <si>
    <t>新日鉄エンジニアリング株式会社</t>
  </si>
  <si>
    <t>やまがたグリーンパワー株式会社</t>
  </si>
  <si>
    <t>H22</t>
    <phoneticPr fontId="1"/>
  </si>
  <si>
    <t>エムアンドディーグリーンエネルギー株式会社</t>
  </si>
  <si>
    <t>関東ロジテック共同組合</t>
  </si>
  <si>
    <t>H21</t>
    <phoneticPr fontId="1"/>
  </si>
  <si>
    <t>(t-CO2/kWh)</t>
    <phoneticPr fontId="1"/>
  </si>
  <si>
    <r>
      <t>CO2</t>
    </r>
    <r>
      <rPr>
        <sz val="11"/>
        <color theme="1"/>
        <rFont val="ＭＳ Ｐ明朝"/>
        <family val="1"/>
        <charset val="128"/>
      </rPr>
      <t>削減単価1</t>
    </r>
    <phoneticPr fontId="1"/>
  </si>
  <si>
    <r>
      <t>CO2</t>
    </r>
    <r>
      <rPr>
        <sz val="11"/>
        <color theme="1"/>
        <rFont val="ＭＳ Ｐ明朝"/>
        <family val="1"/>
        <charset val="128"/>
      </rPr>
      <t>削減単価2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</si>
  <si>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(</t>
    </r>
    <r>
      <rPr>
        <sz val="11"/>
        <color theme="1"/>
        <rFont val="ＭＳ Ｐゴシック"/>
        <family val="2"/>
        <charset val="128"/>
      </rPr>
      <t>汚泥処理量</t>
    </r>
    <r>
      <rPr>
        <sz val="11"/>
        <color theme="1"/>
        <rFont val="Century"/>
        <family val="1"/>
      </rPr>
      <t>)4500</t>
    </r>
    <r>
      <rPr>
        <sz val="11"/>
        <color theme="1"/>
        <rFont val="ＭＳ Ｐゴシック"/>
        <family val="2"/>
        <charset val="128"/>
      </rPr>
      <t>トン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年　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2"/>
        <charset val="128"/>
      </rPr>
      <t>汚泥処理費</t>
    </r>
    <r>
      <rPr>
        <sz val="11"/>
        <color theme="1"/>
        <rFont val="Century"/>
        <family val="1"/>
      </rPr>
      <t>)28</t>
    </r>
    <r>
      <rPr>
        <sz val="11"/>
        <color theme="1"/>
        <rFont val="ＭＳ Ｐゴシック"/>
        <family val="2"/>
        <charset val="128"/>
      </rPr>
      <t>千円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トン　（補助率）</t>
    </r>
    <r>
      <rPr>
        <sz val="11"/>
        <color theme="1"/>
        <rFont val="Century"/>
        <family val="1"/>
      </rPr>
      <t>33%</t>
    </r>
    <phoneticPr fontId="1"/>
  </si>
  <si>
    <r>
      <t>(</t>
    </r>
    <r>
      <rPr>
        <sz val="11"/>
        <color theme="1"/>
        <rFont val="ＭＳ Ｐゴシック"/>
        <family val="2"/>
        <charset val="128"/>
      </rPr>
      <t>汚泥処理量</t>
    </r>
    <r>
      <rPr>
        <sz val="11"/>
        <color theme="1"/>
        <rFont val="Century"/>
        <family val="1"/>
      </rPr>
      <t>)6000</t>
    </r>
    <r>
      <rPr>
        <sz val="11"/>
        <color theme="1"/>
        <rFont val="ＭＳ Ｐゴシック"/>
        <family val="2"/>
        <charset val="128"/>
      </rPr>
      <t>トン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年　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2"/>
        <charset val="128"/>
      </rPr>
      <t>汚泥処理費</t>
    </r>
    <r>
      <rPr>
        <sz val="11"/>
        <color theme="1"/>
        <rFont val="Century"/>
        <family val="1"/>
      </rPr>
      <t>)25.5</t>
    </r>
    <r>
      <rPr>
        <sz val="11"/>
        <color theme="1"/>
        <rFont val="ＭＳ Ｐゴシック"/>
        <family val="2"/>
        <charset val="128"/>
      </rPr>
      <t>千円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トン　（補助率）</t>
    </r>
    <r>
      <rPr>
        <sz val="11"/>
        <color theme="1"/>
        <rFont val="Century"/>
        <family val="1"/>
      </rPr>
      <t>33%</t>
    </r>
    <phoneticPr fontId="1"/>
  </si>
  <si>
    <r>
      <t>(</t>
    </r>
    <r>
      <rPr>
        <sz val="11"/>
        <color theme="1"/>
        <rFont val="ＭＳ Ｐゴシック"/>
        <family val="2"/>
        <charset val="128"/>
      </rPr>
      <t>汚泥処理量</t>
    </r>
    <r>
      <rPr>
        <sz val="11"/>
        <color theme="1"/>
        <rFont val="Century"/>
        <family val="1"/>
      </rPr>
      <t>)3000</t>
    </r>
    <r>
      <rPr>
        <sz val="11"/>
        <color theme="1"/>
        <rFont val="ＭＳ Ｐゴシック"/>
        <family val="2"/>
        <charset val="128"/>
      </rPr>
      <t>トン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年　</t>
    </r>
    <r>
      <rPr>
        <sz val="11"/>
        <color theme="1"/>
        <rFont val="Century"/>
        <family val="1"/>
      </rPr>
      <t>(</t>
    </r>
    <r>
      <rPr>
        <sz val="11"/>
        <color theme="1"/>
        <rFont val="ＭＳ Ｐゴシック"/>
        <family val="2"/>
        <charset val="128"/>
      </rPr>
      <t>汚泥処理費</t>
    </r>
    <r>
      <rPr>
        <sz val="11"/>
        <color theme="1"/>
        <rFont val="Century"/>
        <family val="1"/>
      </rPr>
      <t>)28</t>
    </r>
    <r>
      <rPr>
        <sz val="11"/>
        <color theme="1"/>
        <rFont val="ＭＳ Ｐゴシック"/>
        <family val="2"/>
        <charset val="128"/>
      </rPr>
      <t>千円</t>
    </r>
    <r>
      <rPr>
        <sz val="11"/>
        <color theme="1"/>
        <rFont val="Century"/>
        <family val="1"/>
      </rPr>
      <t>/</t>
    </r>
    <r>
      <rPr>
        <sz val="11"/>
        <color theme="1"/>
        <rFont val="ＭＳ Ｐゴシック"/>
        <family val="2"/>
        <charset val="128"/>
      </rPr>
      <t>トン　（補助率）</t>
    </r>
    <r>
      <rPr>
        <sz val="11"/>
        <color theme="1"/>
        <rFont val="Century"/>
        <family val="1"/>
      </rPr>
      <t>33%</t>
    </r>
    <phoneticPr fontId="1"/>
  </si>
  <si>
    <t>年間CO2削減量１</t>
  </si>
  <si>
    <t>t</t>
  </si>
  <si>
    <t>年間CO2削減量２</t>
  </si>
  <si>
    <t>CO2削減単価1</t>
  </si>
  <si>
    <t>CO2削減単価2</t>
  </si>
  <si>
    <t>発酵１</t>
  </si>
  <si>
    <t>発酵１</t>
    <phoneticPr fontId="1"/>
  </si>
  <si>
    <t>発酵２</t>
  </si>
  <si>
    <t>発酵３</t>
  </si>
  <si>
    <t>発酵４</t>
  </si>
  <si>
    <t>造粒</t>
  </si>
  <si>
    <t>造粒</t>
    <phoneticPr fontId="1"/>
  </si>
  <si>
    <t>炭化</t>
  </si>
  <si>
    <t>炭化</t>
    <phoneticPr fontId="1"/>
  </si>
  <si>
    <t>年価値</t>
    <phoneticPr fontId="1"/>
  </si>
  <si>
    <t>造粒</t>
    <phoneticPr fontId="1"/>
  </si>
  <si>
    <t>炭化</t>
    <phoneticPr fontId="1"/>
  </si>
  <si>
    <r>
      <t>(t-CO</t>
    </r>
    <r>
      <rPr>
        <sz val="8.8000000000000007"/>
        <color rgb="FF000000"/>
        <rFont val="ＭＳ Ｐゴシック"/>
        <family val="3"/>
        <charset val="128"/>
        <scheme val="minor"/>
      </rPr>
      <t>1/kWh)</t>
    </r>
    <r>
      <rPr>
        <sz val="11"/>
        <color rgb="FF000000"/>
        <rFont val="ＭＳ Ｐゴシック"/>
        <family val="3"/>
        <charset val="128"/>
        <scheme val="minor"/>
      </rPr>
      <t/>
    </r>
  </si>
  <si>
    <t>H24</t>
    <phoneticPr fontId="1"/>
  </si>
</sst>
</file>

<file path=xl/styles.xml><?xml version="1.0" encoding="utf-8"?>
<styleSheet xmlns="http://schemas.openxmlformats.org/spreadsheetml/2006/main">
  <numFmts count="10">
    <numFmt numFmtId="176" formatCode="0_ "/>
    <numFmt numFmtId="177" formatCode="0.00000_ "/>
    <numFmt numFmtId="178" formatCode="0.000_ "/>
    <numFmt numFmtId="179" formatCode="#,##0.000;[Red]\-#,##0.000"/>
    <numFmt numFmtId="180" formatCode="#,##0.00000;[Red]\-#,##0.00000"/>
    <numFmt numFmtId="181" formatCode="#,##0.0000000000;[Red]\-#,##0.0000000000"/>
    <numFmt numFmtId="182" formatCode="0.00_ "/>
    <numFmt numFmtId="183" formatCode="0.0%"/>
    <numFmt numFmtId="184" formatCode="0_ ;[Red]\-0\ "/>
    <numFmt numFmtId="185" formatCode="0.00_ ;[Red]\-0.00\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11"/>
      <color theme="1"/>
      <name val="Century"/>
      <family val="1"/>
    </font>
    <font>
      <sz val="11"/>
      <color rgb="FFFF0000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8.8000000000000007"/>
      <color rgb="FF00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auto="1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4" borderId="1" xfId="0" applyNumberFormat="1" applyFont="1" applyFill="1" applyBorder="1" applyAlignment="1">
      <alignment horizontal="center" vertical="center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center" vertical="center"/>
    </xf>
    <xf numFmtId="38" fontId="4" fillId="3" borderId="0" xfId="0" applyNumberFormat="1" applyFont="1" applyFill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1" xfId="0" applyNumberFormat="1" applyFont="1" applyBorder="1">
      <alignment vertical="center"/>
    </xf>
    <xf numFmtId="38" fontId="4" fillId="3" borderId="6" xfId="0" applyNumberFormat="1" applyFont="1" applyFill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4" fillId="0" borderId="0" xfId="0" quotePrefix="1" applyNumberFormat="1" applyFont="1" applyBorder="1" applyAlignment="1">
      <alignment horizontal="center" vertical="center"/>
    </xf>
    <xf numFmtId="38" fontId="4" fillId="2" borderId="1" xfId="0" applyNumberFormat="1" applyFont="1" applyFill="1" applyBorder="1">
      <alignment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 vertical="center"/>
    </xf>
    <xf numFmtId="38" fontId="4" fillId="3" borderId="1" xfId="0" applyNumberFormat="1" applyFont="1" applyFill="1" applyBorder="1">
      <alignment vertical="center"/>
    </xf>
    <xf numFmtId="38" fontId="4" fillId="3" borderId="1" xfId="0" applyNumberFormat="1" applyFont="1" applyFill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/>
    </xf>
    <xf numFmtId="38" fontId="4" fillId="4" borderId="1" xfId="0" applyNumberFormat="1" applyFont="1" applyFill="1" applyBorder="1" applyAlignment="1">
      <alignment vertical="center"/>
    </xf>
    <xf numFmtId="38" fontId="4" fillId="4" borderId="0" xfId="0" applyNumberFormat="1" applyFont="1" applyFill="1">
      <alignment vertical="center"/>
    </xf>
    <xf numFmtId="38" fontId="4" fillId="5" borderId="0" xfId="0" applyNumberFormat="1" applyFont="1" applyFill="1" applyBorder="1" applyAlignment="1">
      <alignment horizontal="center" vertical="center"/>
    </xf>
    <xf numFmtId="38" fontId="2" fillId="0" borderId="0" xfId="0" applyNumberFormat="1" applyFont="1">
      <alignment vertical="center"/>
    </xf>
    <xf numFmtId="0" fontId="4" fillId="0" borderId="7" xfId="0" applyNumberFormat="1" applyFont="1" applyBorder="1" applyAlignment="1">
      <alignment vertical="center"/>
    </xf>
    <xf numFmtId="177" fontId="4" fillId="6" borderId="0" xfId="0" applyNumberFormat="1" applyFont="1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38" fontId="4" fillId="0" borderId="1" xfId="0" applyNumberFormat="1" applyFont="1" applyBorder="1" applyAlignment="1">
      <alignment horizontal="right" vertical="center"/>
    </xf>
    <xf numFmtId="38" fontId="4" fillId="2" borderId="1" xfId="0" applyNumberFormat="1" applyFont="1" applyFill="1" applyBorder="1" applyAlignment="1">
      <alignment horizontal="right" vertical="center"/>
    </xf>
    <xf numFmtId="38" fontId="4" fillId="4" borderId="1" xfId="0" applyNumberFormat="1" applyFont="1" applyFill="1" applyBorder="1" applyAlignment="1">
      <alignment horizontal="right" vertical="center"/>
    </xf>
    <xf numFmtId="180" fontId="4" fillId="0" borderId="0" xfId="0" applyNumberFormat="1" applyFont="1">
      <alignment vertical="center"/>
    </xf>
    <xf numFmtId="181" fontId="4" fillId="0" borderId="0" xfId="0" applyNumberFormat="1" applyFont="1">
      <alignment vertical="center"/>
    </xf>
    <xf numFmtId="38" fontId="4" fillId="2" borderId="9" xfId="0" applyNumberFormat="1" applyFont="1" applyFill="1" applyBorder="1">
      <alignment vertical="center"/>
    </xf>
    <xf numFmtId="38" fontId="4" fillId="0" borderId="9" xfId="0" applyNumberFormat="1" applyFont="1" applyBorder="1">
      <alignment vertical="center"/>
    </xf>
    <xf numFmtId="38" fontId="4" fillId="0" borderId="8" xfId="0" applyNumberFormat="1" applyFont="1" applyBorder="1">
      <alignment vertical="center"/>
    </xf>
    <xf numFmtId="38" fontId="4" fillId="0" borderId="11" xfId="0" applyNumberFormat="1" applyFont="1" applyBorder="1" applyAlignment="1">
      <alignment vertical="center"/>
    </xf>
    <xf numFmtId="38" fontId="4" fillId="0" borderId="11" xfId="0" applyNumberFormat="1" applyFont="1" applyBorder="1">
      <alignment vertical="center"/>
    </xf>
    <xf numFmtId="38" fontId="4" fillId="0" borderId="12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38" fontId="4" fillId="2" borderId="14" xfId="0" applyNumberFormat="1" applyFont="1" applyFill="1" applyBorder="1">
      <alignment vertical="center"/>
    </xf>
    <xf numFmtId="38" fontId="4" fillId="0" borderId="16" xfId="0" applyNumberFormat="1" applyFont="1" applyBorder="1">
      <alignment vertical="center"/>
    </xf>
    <xf numFmtId="38" fontId="4" fillId="0" borderId="17" xfId="0" applyNumberFormat="1" applyFont="1" applyBorder="1">
      <alignment vertical="center"/>
    </xf>
    <xf numFmtId="38" fontId="4" fillId="2" borderId="0" xfId="0" applyNumberFormat="1" applyFont="1" applyFill="1">
      <alignment vertical="center"/>
    </xf>
    <xf numFmtId="179" fontId="4" fillId="2" borderId="0" xfId="0" applyNumberFormat="1" applyFont="1" applyFill="1">
      <alignment vertical="center"/>
    </xf>
    <xf numFmtId="38" fontId="2" fillId="2" borderId="0" xfId="0" applyNumberFormat="1" applyFont="1" applyFill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18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82" fontId="0" fillId="2" borderId="1" xfId="0" applyNumberFormat="1" applyFill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76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 wrapText="1"/>
    </xf>
    <xf numFmtId="176" fontId="0" fillId="6" borderId="1" xfId="0" applyNumberFormat="1" applyFill="1" applyBorder="1" applyAlignment="1">
      <alignment vertical="center" wrapText="1"/>
    </xf>
    <xf numFmtId="184" fontId="0" fillId="2" borderId="1" xfId="0" applyNumberFormat="1" applyFill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182" fontId="0" fillId="0" borderId="9" xfId="0" applyNumberFormat="1" applyBorder="1" applyAlignment="1">
      <alignment vertical="center" wrapText="1"/>
    </xf>
    <xf numFmtId="176" fontId="5" fillId="2" borderId="9" xfId="0" applyNumberFormat="1" applyFont="1" applyFill="1" applyBorder="1" applyAlignment="1">
      <alignment vertical="center" wrapText="1"/>
    </xf>
    <xf numFmtId="176" fontId="5" fillId="0" borderId="9" xfId="0" applyNumberFormat="1" applyFont="1" applyBorder="1" applyAlignment="1">
      <alignment vertical="center" wrapText="1"/>
    </xf>
    <xf numFmtId="182" fontId="0" fillId="2" borderId="9" xfId="0" applyNumberFormat="1" applyFill="1" applyBorder="1" applyAlignment="1">
      <alignment vertical="center" wrapText="1"/>
    </xf>
    <xf numFmtId="183" fontId="0" fillId="0" borderId="9" xfId="0" applyNumberFormat="1" applyBorder="1" applyAlignment="1">
      <alignment vertical="center" wrapText="1"/>
    </xf>
    <xf numFmtId="176" fontId="0" fillId="2" borderId="9" xfId="0" applyNumberFormat="1" applyFill="1" applyBorder="1" applyAlignment="1">
      <alignment vertical="center" wrapText="1"/>
    </xf>
    <xf numFmtId="176" fontId="0" fillId="6" borderId="9" xfId="0" applyNumberFormat="1" applyFill="1" applyBorder="1" applyAlignment="1">
      <alignment vertical="center" wrapText="1"/>
    </xf>
    <xf numFmtId="184" fontId="0" fillId="2" borderId="9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5" fontId="0" fillId="0" borderId="11" xfId="0" applyNumberFormat="1" applyBorder="1" applyAlignment="1">
      <alignment vertical="center" wrapText="1"/>
    </xf>
    <xf numFmtId="185" fontId="0" fillId="0" borderId="12" xfId="0" applyNumberForma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177" fontId="0" fillId="2" borderId="1" xfId="0" applyNumberFormat="1" applyFill="1" applyBorder="1" applyAlignment="1">
      <alignment vertical="center" wrapText="1"/>
    </xf>
    <xf numFmtId="38" fontId="4" fillId="2" borderId="34" xfId="0" applyNumberFormat="1" applyFont="1" applyFill="1" applyBorder="1">
      <alignment vertical="center"/>
    </xf>
    <xf numFmtId="38" fontId="4" fillId="2" borderId="35" xfId="0" applyNumberFormat="1" applyFont="1" applyFill="1" applyBorder="1">
      <alignment vertical="center"/>
    </xf>
    <xf numFmtId="179" fontId="4" fillId="2" borderId="35" xfId="0" applyNumberFormat="1" applyFont="1" applyFill="1" applyBorder="1">
      <alignment vertical="center"/>
    </xf>
    <xf numFmtId="38" fontId="2" fillId="2" borderId="36" xfId="0" applyNumberFormat="1" applyFont="1" applyFill="1" applyBorder="1">
      <alignment vertical="center"/>
    </xf>
    <xf numFmtId="38" fontId="2" fillId="4" borderId="0" xfId="0" applyNumberFormat="1" applyFont="1" applyFill="1">
      <alignment vertical="center"/>
    </xf>
    <xf numFmtId="0" fontId="0" fillId="6" borderId="0" xfId="0" applyFill="1">
      <alignment vertical="center"/>
    </xf>
    <xf numFmtId="38" fontId="2" fillId="2" borderId="1" xfId="0" applyNumberFormat="1" applyFont="1" applyFill="1" applyBorder="1">
      <alignment vertical="center"/>
    </xf>
    <xf numFmtId="38" fontId="4" fillId="6" borderId="1" xfId="0" applyNumberFormat="1" applyFont="1" applyFill="1" applyBorder="1">
      <alignment vertical="center"/>
    </xf>
    <xf numFmtId="38" fontId="2" fillId="6" borderId="1" xfId="0" applyNumberFormat="1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center" vertical="center"/>
    </xf>
    <xf numFmtId="38" fontId="4" fillId="0" borderId="13" xfId="0" applyNumberFormat="1" applyFont="1" applyBorder="1" applyAlignment="1">
      <alignment horizontal="center" vertical="center"/>
    </xf>
    <xf numFmtId="38" fontId="4" fillId="0" borderId="8" xfId="0" applyNumberFormat="1" applyFont="1" applyBorder="1" applyAlignment="1">
      <alignment horizontal="center" vertical="center"/>
    </xf>
    <xf numFmtId="38" fontId="4" fillId="0" borderId="4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38" fontId="4" fillId="6" borderId="0" xfId="0" applyNumberFormat="1" applyFont="1" applyFill="1" applyAlignment="1">
      <alignment horizontal="center" vertical="center"/>
    </xf>
    <xf numFmtId="0" fontId="10" fillId="2" borderId="28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28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0" fontId="6" fillId="6" borderId="25" xfId="0" applyFont="1" applyFill="1" applyBorder="1" applyAlignment="1">
      <alignment vertical="center" wrapText="1"/>
    </xf>
    <xf numFmtId="0" fontId="10" fillId="6" borderId="25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/>
    </xf>
    <xf numFmtId="0" fontId="6" fillId="2" borderId="25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1259904"/>
        <c:axId val="161261440"/>
      </c:scatterChart>
      <c:valAx>
        <c:axId val="161259904"/>
        <c:scaling>
          <c:orientation val="minMax"/>
        </c:scaling>
        <c:axPos val="b"/>
        <c:numFmt formatCode="General" sourceLinked="1"/>
        <c:tickLblPos val="nextTo"/>
        <c:crossAx val="161261440"/>
        <c:crosses val="autoZero"/>
        <c:crossBetween val="midCat"/>
      </c:valAx>
      <c:valAx>
        <c:axId val="161261440"/>
        <c:scaling>
          <c:orientation val="minMax"/>
        </c:scaling>
        <c:axPos val="l"/>
        <c:majorGridlines/>
        <c:numFmt formatCode="General" sourceLinked="1"/>
        <c:tickLblPos val="nextTo"/>
        <c:crossAx val="1612599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2977280"/>
        <c:axId val="162978816"/>
      </c:scatterChart>
      <c:valAx>
        <c:axId val="162977280"/>
        <c:scaling>
          <c:orientation val="minMax"/>
        </c:scaling>
        <c:axPos val="b"/>
        <c:numFmt formatCode="General" sourceLinked="1"/>
        <c:tickLblPos val="nextTo"/>
        <c:crossAx val="162978816"/>
        <c:crosses val="autoZero"/>
        <c:crossBetween val="midCat"/>
      </c:valAx>
      <c:valAx>
        <c:axId val="162978816"/>
        <c:scaling>
          <c:orientation val="minMax"/>
        </c:scaling>
        <c:axPos val="l"/>
        <c:majorGridlines/>
        <c:numFmt formatCode="General" sourceLinked="1"/>
        <c:tickLblPos val="nextTo"/>
        <c:crossAx val="1629772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3105408"/>
        <c:axId val="163131776"/>
      </c:scatterChart>
      <c:valAx>
        <c:axId val="163105408"/>
        <c:scaling>
          <c:orientation val="minMax"/>
        </c:scaling>
        <c:axPos val="b"/>
        <c:numFmt formatCode="General" sourceLinked="1"/>
        <c:tickLblPos val="nextTo"/>
        <c:crossAx val="163131776"/>
        <c:crosses val="autoZero"/>
        <c:crossBetween val="midCat"/>
      </c:valAx>
      <c:valAx>
        <c:axId val="163131776"/>
        <c:scaling>
          <c:orientation val="minMax"/>
        </c:scaling>
        <c:axPos val="l"/>
        <c:majorGridlines/>
        <c:numFmt formatCode="General" sourceLinked="1"/>
        <c:tickLblPos val="nextTo"/>
        <c:crossAx val="1631054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3164160"/>
        <c:axId val="163165696"/>
      </c:scatterChart>
      <c:valAx>
        <c:axId val="163164160"/>
        <c:scaling>
          <c:orientation val="minMax"/>
        </c:scaling>
        <c:axPos val="b"/>
        <c:numFmt formatCode="General" sourceLinked="1"/>
        <c:tickLblPos val="nextTo"/>
        <c:crossAx val="163165696"/>
        <c:crosses val="autoZero"/>
        <c:crossBetween val="midCat"/>
      </c:valAx>
      <c:valAx>
        <c:axId val="163165696"/>
        <c:scaling>
          <c:orientation val="minMax"/>
        </c:scaling>
        <c:axPos val="l"/>
        <c:majorGridlines/>
        <c:numFmt formatCode="General" sourceLinked="1"/>
        <c:tickLblPos val="nextTo"/>
        <c:crossAx val="1631641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3238656"/>
        <c:axId val="163240192"/>
      </c:scatterChart>
      <c:valAx>
        <c:axId val="163238656"/>
        <c:scaling>
          <c:orientation val="minMax"/>
        </c:scaling>
        <c:axPos val="b"/>
        <c:numFmt formatCode="General" sourceLinked="1"/>
        <c:tickLblPos val="nextTo"/>
        <c:crossAx val="163240192"/>
        <c:crosses val="autoZero"/>
        <c:crossBetween val="midCat"/>
      </c:valAx>
      <c:valAx>
        <c:axId val="163240192"/>
        <c:scaling>
          <c:orientation val="minMax"/>
        </c:scaling>
        <c:axPos val="l"/>
        <c:majorGridlines/>
        <c:numFmt formatCode="General" sourceLinked="1"/>
        <c:tickLblPos val="nextTo"/>
        <c:crossAx val="1632386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8"/>
  <c:chart>
    <c:plotArea>
      <c:layout/>
      <c:scatterChart>
        <c:scatterStyle val="smoothMarker"/>
        <c:ser>
          <c:idx val="0"/>
          <c:order val="0"/>
          <c:xVal>
            <c:numRef>
              <c:f>教授!$F$22:$F$34</c:f>
              <c:numCache>
                <c:formatCode>General</c:formatCode>
                <c:ptCount val="13"/>
                <c:pt idx="0">
                  <c:v>6000</c:v>
                </c:pt>
                <c:pt idx="1">
                  <c:v>4500</c:v>
                </c:pt>
                <c:pt idx="2">
                  <c:v>3000</c:v>
                </c:pt>
              </c:numCache>
            </c:numRef>
          </c:xVal>
          <c:yVal>
            <c:numRef>
              <c:f>教授!$G$22:$G$34</c:f>
              <c:numCache>
                <c:formatCode>General</c:formatCode>
                <c:ptCount val="13"/>
                <c:pt idx="0">
                  <c:v>94800</c:v>
                </c:pt>
                <c:pt idx="1">
                  <c:v>74040</c:v>
                </c:pt>
                <c:pt idx="2">
                  <c:v>63180</c:v>
                </c:pt>
              </c:numCache>
            </c:numRef>
          </c:yVal>
          <c:smooth val="1"/>
        </c:ser>
        <c:axId val="163346304"/>
        <c:axId val="163347840"/>
      </c:scatterChart>
      <c:valAx>
        <c:axId val="163346304"/>
        <c:scaling>
          <c:orientation val="minMax"/>
        </c:scaling>
        <c:axPos val="b"/>
        <c:numFmt formatCode="General" sourceLinked="1"/>
        <c:tickLblPos val="nextTo"/>
        <c:crossAx val="163347840"/>
        <c:crosses val="autoZero"/>
        <c:crossBetween val="midCat"/>
      </c:valAx>
      <c:valAx>
        <c:axId val="163347840"/>
        <c:scaling>
          <c:orientation val="minMax"/>
        </c:scaling>
        <c:axPos val="l"/>
        <c:majorGridlines/>
        <c:numFmt formatCode="General" sourceLinked="1"/>
        <c:tickLblPos val="nextTo"/>
        <c:crossAx val="1633463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35</xdr:row>
      <xdr:rowOff>57150</xdr:rowOff>
    </xdr:from>
    <xdr:to>
      <xdr:col>13</xdr:col>
      <xdr:colOff>190500</xdr:colOff>
      <xdr:row>55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5"/>
  <sheetViews>
    <sheetView topLeftCell="G6" workbookViewId="0">
      <selection activeCell="R20" sqref="R20"/>
    </sheetView>
  </sheetViews>
  <sheetFormatPr defaultRowHeight="13.5"/>
  <cols>
    <col min="3" max="3" width="12.5" customWidth="1"/>
    <col min="5" max="5" width="10.125" customWidth="1"/>
    <col min="6" max="6" width="15" customWidth="1"/>
    <col min="9" max="9" width="7" customWidth="1"/>
    <col min="12" max="12" width="9.625" customWidth="1"/>
    <col min="13" max="13" width="10.375" customWidth="1"/>
    <col min="16" max="16" width="31.5" customWidth="1"/>
    <col min="17" max="17" width="13" customWidth="1"/>
    <col min="18" max="18" width="9.125" bestFit="1" customWidth="1"/>
  </cols>
  <sheetData>
    <row r="1" spans="2:22">
      <c r="B1" s="128" t="s">
        <v>38</v>
      </c>
      <c r="C1" s="128"/>
      <c r="D1" s="128"/>
      <c r="E1" s="128"/>
      <c r="F1" s="128"/>
      <c r="G1" s="128"/>
      <c r="I1" s="4" t="s">
        <v>51</v>
      </c>
      <c r="J1" s="4"/>
      <c r="K1" s="4" t="s">
        <v>54</v>
      </c>
      <c r="L1" s="11">
        <v>6000</v>
      </c>
      <c r="M1" s="6" t="s">
        <v>48</v>
      </c>
      <c r="N1" s="4"/>
      <c r="O1" s="4"/>
      <c r="P1" s="4"/>
      <c r="Q1" s="4"/>
    </row>
    <row r="2" spans="2:22">
      <c r="B2" s="133" t="s">
        <v>0</v>
      </c>
      <c r="C2" s="133"/>
      <c r="D2" s="1" t="s">
        <v>1</v>
      </c>
      <c r="E2" s="133" t="s">
        <v>0</v>
      </c>
      <c r="F2" s="133"/>
      <c r="G2" s="1" t="s">
        <v>1</v>
      </c>
      <c r="I2" s="10">
        <v>6000</v>
      </c>
      <c r="J2" s="6" t="s">
        <v>48</v>
      </c>
      <c r="K2" s="4" t="s">
        <v>55</v>
      </c>
      <c r="L2" s="11">
        <v>1600</v>
      </c>
      <c r="M2" s="6" t="s">
        <v>48</v>
      </c>
      <c r="N2" s="4"/>
      <c r="O2" s="5" t="s">
        <v>50</v>
      </c>
      <c r="P2" s="6">
        <v>1.0189999999999999</v>
      </c>
      <c r="Q2" s="19" t="s">
        <v>56</v>
      </c>
      <c r="R2">
        <v>36000</v>
      </c>
    </row>
    <row r="3" spans="2:22">
      <c r="B3" s="133" t="s">
        <v>2</v>
      </c>
      <c r="C3" s="1" t="s">
        <v>3</v>
      </c>
      <c r="D3" s="1">
        <v>439000</v>
      </c>
      <c r="E3" s="133" t="s">
        <v>19</v>
      </c>
      <c r="F3" s="1" t="s">
        <v>20</v>
      </c>
      <c r="G3" s="9">
        <f>+I2*I3/1000</f>
        <v>168000</v>
      </c>
      <c r="I3" s="10">
        <v>28000</v>
      </c>
      <c r="J3" s="6" t="s">
        <v>49</v>
      </c>
      <c r="K3" s="4"/>
      <c r="L3" s="5" t="s">
        <v>42</v>
      </c>
      <c r="M3" s="6">
        <v>28000</v>
      </c>
      <c r="N3" s="4"/>
      <c r="O3" s="5" t="s">
        <v>47</v>
      </c>
      <c r="P3" s="6">
        <v>1.9E-2</v>
      </c>
      <c r="Q3" s="17">
        <v>10</v>
      </c>
      <c r="R3" s="20">
        <v>47000</v>
      </c>
    </row>
    <row r="4" spans="2:22">
      <c r="B4" s="133"/>
      <c r="C4" s="1" t="s">
        <v>4</v>
      </c>
      <c r="D4" s="21">
        <v>364900</v>
      </c>
      <c r="E4" s="133"/>
      <c r="F4" s="1" t="s">
        <v>21</v>
      </c>
      <c r="G4" s="9">
        <f>-I5</f>
        <v>-750</v>
      </c>
      <c r="I4" s="4" t="s">
        <v>52</v>
      </c>
      <c r="J4" s="4"/>
      <c r="K4" s="4" t="s">
        <v>53</v>
      </c>
      <c r="L4" s="4"/>
      <c r="M4" s="4"/>
      <c r="N4" s="4"/>
      <c r="O4" s="4"/>
      <c r="P4" s="4"/>
      <c r="Q4" s="4" t="s">
        <v>57</v>
      </c>
      <c r="R4">
        <v>23000</v>
      </c>
    </row>
    <row r="5" spans="2:22">
      <c r="B5" s="133"/>
      <c r="C5" s="1" t="s">
        <v>23</v>
      </c>
      <c r="D5" s="1">
        <f>D3+D4</f>
        <v>803900</v>
      </c>
      <c r="E5" s="133"/>
      <c r="F5" s="1" t="s">
        <v>22</v>
      </c>
      <c r="G5" s="9">
        <f>+L2*K5/1000</f>
        <v>1600</v>
      </c>
      <c r="I5" s="12">
        <v>750</v>
      </c>
      <c r="J5" s="6" t="s">
        <v>49</v>
      </c>
      <c r="K5" s="11">
        <v>1000</v>
      </c>
      <c r="L5" s="6" t="s">
        <v>49</v>
      </c>
      <c r="M5" s="4"/>
      <c r="N5" s="4"/>
      <c r="O5" s="4"/>
      <c r="P5" s="4"/>
      <c r="Q5" s="4"/>
    </row>
    <row r="6" spans="2:22">
      <c r="B6" s="133" t="s">
        <v>5</v>
      </c>
      <c r="C6" s="1" t="s">
        <v>6</v>
      </c>
      <c r="D6" s="1">
        <v>0</v>
      </c>
      <c r="E6" s="133"/>
      <c r="F6" s="1" t="s">
        <v>23</v>
      </c>
      <c r="G6" s="1">
        <f>G3+G4+G5</f>
        <v>168850</v>
      </c>
      <c r="I6" s="3"/>
      <c r="J6" s="3" t="s">
        <v>39</v>
      </c>
      <c r="K6" s="3" t="s">
        <v>40</v>
      </c>
      <c r="L6" s="3" t="s">
        <v>41</v>
      </c>
      <c r="M6" s="3" t="s">
        <v>42</v>
      </c>
      <c r="N6" s="3" t="s">
        <v>43</v>
      </c>
      <c r="O6" s="3" t="s">
        <v>44</v>
      </c>
      <c r="P6" s="3" t="s">
        <v>45</v>
      </c>
      <c r="Q6" s="17"/>
    </row>
    <row r="7" spans="2:22">
      <c r="B7" s="133"/>
      <c r="C7" s="1" t="s">
        <v>7</v>
      </c>
      <c r="D7" s="1">
        <v>538269</v>
      </c>
      <c r="E7" s="130" t="s">
        <v>37</v>
      </c>
      <c r="F7" s="1" t="s">
        <v>24</v>
      </c>
      <c r="G7" s="129">
        <f>IF($I2=F22,G22,IF($I2=F23,G23,IF($I2=F24,G24)))</f>
        <v>94800</v>
      </c>
      <c r="I7" s="3">
        <v>0</v>
      </c>
      <c r="J7" s="3">
        <f>D5</f>
        <v>803900</v>
      </c>
      <c r="K7" s="3"/>
      <c r="L7" s="3"/>
      <c r="M7" s="3"/>
      <c r="N7" s="3"/>
      <c r="O7" s="3">
        <f>J7</f>
        <v>803900</v>
      </c>
      <c r="P7" s="3">
        <f>O7</f>
        <v>803900</v>
      </c>
      <c r="Q7" s="17"/>
      <c r="R7" s="17">
        <v>0</v>
      </c>
      <c r="S7">
        <f>+P7</f>
        <v>803900</v>
      </c>
      <c r="T7">
        <f>+S7*$P$2</f>
        <v>819174.1</v>
      </c>
    </row>
    <row r="8" spans="2:22">
      <c r="B8" s="133"/>
      <c r="C8" s="1" t="s">
        <v>8</v>
      </c>
      <c r="D8" s="1">
        <v>265631</v>
      </c>
      <c r="E8" s="131"/>
      <c r="F8" s="1" t="s">
        <v>25</v>
      </c>
      <c r="G8" s="129"/>
      <c r="I8" s="3">
        <v>1</v>
      </c>
      <c r="J8" s="3"/>
      <c r="K8" s="3">
        <f>$G$16</f>
        <v>94800</v>
      </c>
      <c r="L8" s="3">
        <f>-$G$4</f>
        <v>750</v>
      </c>
      <c r="M8" s="3">
        <f>-$G$3</f>
        <v>-168000</v>
      </c>
      <c r="N8" s="3">
        <f>-1*$G$5</f>
        <v>-1600</v>
      </c>
      <c r="O8" s="3">
        <f>K8+L8+M8+N8</f>
        <v>-74050</v>
      </c>
      <c r="P8" s="15">
        <f>O8/($P$2)^I8</f>
        <v>-72669.283611383711</v>
      </c>
      <c r="Q8" s="18">
        <v>23000</v>
      </c>
      <c r="R8" s="18">
        <f>+R7+Q8</f>
        <v>23000</v>
      </c>
      <c r="S8" s="16">
        <f>+T7+P8-J7*0.33+Q8</f>
        <v>504217.81638861622</v>
      </c>
      <c r="T8">
        <f>+S8*$P$2</f>
        <v>513797.9548999999</v>
      </c>
      <c r="V8">
        <f>SUM(L8:N8)</f>
        <v>-168850</v>
      </c>
    </row>
    <row r="9" spans="2:22">
      <c r="B9" s="133"/>
      <c r="C9" s="1" t="s">
        <v>23</v>
      </c>
      <c r="D9" s="1">
        <f>D6+D7+D8</f>
        <v>803900</v>
      </c>
      <c r="E9" s="131"/>
      <c r="F9" s="1" t="s">
        <v>26</v>
      </c>
      <c r="G9" s="129"/>
      <c r="I9" s="3">
        <v>2</v>
      </c>
      <c r="J9" s="3"/>
      <c r="K9" s="3">
        <f t="shared" ref="K9:K32" si="0">$G$16</f>
        <v>94800</v>
      </c>
      <c r="L9" s="7">
        <f t="shared" ref="L9:L32" si="1">-$G$4</f>
        <v>750</v>
      </c>
      <c r="M9" s="7">
        <f t="shared" ref="M9:M32" si="2">-$G$3</f>
        <v>-168000</v>
      </c>
      <c r="N9" s="3">
        <f t="shared" ref="N9:N32" si="3">-1*$G$5</f>
        <v>-1600</v>
      </c>
      <c r="O9" s="3">
        <f t="shared" ref="O9:O22" si="4">K9+L9+M9+N9</f>
        <v>-74050</v>
      </c>
      <c r="P9" s="15">
        <f t="shared" ref="P9:P32" si="5">O9/($P$2)^I9</f>
        <v>-71314.311689287264</v>
      </c>
      <c r="Q9" s="18">
        <v>20000</v>
      </c>
      <c r="R9" s="18">
        <f t="shared" ref="R9:R22" si="6">+R8+Q9</f>
        <v>43000</v>
      </c>
      <c r="S9" s="16">
        <f>+T8+P9+Q9</f>
        <v>462483.64321071265</v>
      </c>
      <c r="T9">
        <f t="shared" ref="T9:T22" si="7">+S9*$P$2</f>
        <v>471270.83243171615</v>
      </c>
    </row>
    <row r="10" spans="2:22">
      <c r="B10" s="1" t="s">
        <v>9</v>
      </c>
      <c r="C10" s="1" t="s">
        <v>10</v>
      </c>
      <c r="D10" s="9">
        <f>+D4*0.3</f>
        <v>109470</v>
      </c>
      <c r="E10" s="131"/>
      <c r="F10" s="1" t="s">
        <v>27</v>
      </c>
      <c r="G10" s="129"/>
      <c r="I10" s="3">
        <v>3</v>
      </c>
      <c r="J10" s="3"/>
      <c r="K10" s="3">
        <f t="shared" si="0"/>
        <v>94800</v>
      </c>
      <c r="L10" s="7">
        <f t="shared" si="1"/>
        <v>750</v>
      </c>
      <c r="M10" s="7">
        <f t="shared" si="2"/>
        <v>-168000</v>
      </c>
      <c r="N10" s="3">
        <f t="shared" si="3"/>
        <v>-1600</v>
      </c>
      <c r="O10" s="3">
        <f t="shared" si="4"/>
        <v>-74050</v>
      </c>
      <c r="P10" s="15">
        <f t="shared" si="5"/>
        <v>-69984.604209310361</v>
      </c>
      <c r="Q10" s="18">
        <v>20000</v>
      </c>
      <c r="R10" s="18">
        <f t="shared" si="6"/>
        <v>63000</v>
      </c>
      <c r="S10" s="16">
        <f>+T9+P10+Q10</f>
        <v>421286.22822240577</v>
      </c>
      <c r="T10">
        <f t="shared" si="7"/>
        <v>429290.66655863146</v>
      </c>
      <c r="V10">
        <v>94800</v>
      </c>
    </row>
    <row r="11" spans="2:22">
      <c r="B11" s="133"/>
      <c r="C11" s="133" t="s">
        <v>18</v>
      </c>
      <c r="D11" s="133"/>
      <c r="E11" s="131"/>
      <c r="F11" s="1" t="s">
        <v>28</v>
      </c>
      <c r="G11" s="129"/>
      <c r="I11" s="3">
        <v>4</v>
      </c>
      <c r="J11" s="3"/>
      <c r="K11" s="3">
        <f t="shared" si="0"/>
        <v>94800</v>
      </c>
      <c r="L11" s="7">
        <f t="shared" si="1"/>
        <v>750</v>
      </c>
      <c r="M11" s="7">
        <f t="shared" si="2"/>
        <v>-168000</v>
      </c>
      <c r="N11" s="3">
        <f t="shared" si="3"/>
        <v>-1600</v>
      </c>
      <c r="O11" s="3">
        <f t="shared" si="4"/>
        <v>-74050</v>
      </c>
      <c r="P11" s="15">
        <f t="shared" si="5"/>
        <v>-68679.690097458646</v>
      </c>
      <c r="Q11" s="18">
        <v>20000</v>
      </c>
      <c r="R11" s="18">
        <f t="shared" si="6"/>
        <v>83000</v>
      </c>
      <c r="S11" s="16">
        <f t="shared" ref="S11:S32" si="8">+T10+P11+Q11</f>
        <v>380610.9764611728</v>
      </c>
      <c r="T11">
        <f t="shared" si="7"/>
        <v>387842.58501393505</v>
      </c>
      <c r="V11">
        <f>301602+V10</f>
        <v>396402</v>
      </c>
    </row>
    <row r="12" spans="2:22">
      <c r="B12" s="133"/>
      <c r="C12" s="2" t="s">
        <v>3</v>
      </c>
      <c r="D12" s="2" t="s">
        <v>14</v>
      </c>
      <c r="E12" s="131"/>
      <c r="F12" s="1" t="s">
        <v>29</v>
      </c>
      <c r="G12" s="129"/>
      <c r="I12" s="3">
        <v>5</v>
      </c>
      <c r="J12" s="3"/>
      <c r="K12" s="3">
        <f t="shared" si="0"/>
        <v>94800</v>
      </c>
      <c r="L12" s="7">
        <f t="shared" si="1"/>
        <v>750</v>
      </c>
      <c r="M12" s="7">
        <f t="shared" si="2"/>
        <v>-168000</v>
      </c>
      <c r="N12" s="3">
        <f t="shared" si="3"/>
        <v>-1600</v>
      </c>
      <c r="O12" s="3">
        <f t="shared" si="4"/>
        <v>-74050</v>
      </c>
      <c r="P12" s="15">
        <f t="shared" si="5"/>
        <v>-67399.107063256786</v>
      </c>
      <c r="Q12" s="18">
        <v>20000</v>
      </c>
      <c r="R12" s="18">
        <f t="shared" si="6"/>
        <v>103000</v>
      </c>
      <c r="S12" s="16">
        <f t="shared" si="8"/>
        <v>340443.47795067827</v>
      </c>
      <c r="T12">
        <f t="shared" si="7"/>
        <v>346911.90403174114</v>
      </c>
    </row>
    <row r="13" spans="2:22">
      <c r="B13" s="133"/>
      <c r="C13" s="2" t="s">
        <v>11</v>
      </c>
      <c r="D13" s="2" t="s">
        <v>15</v>
      </c>
      <c r="E13" s="131"/>
      <c r="F13" s="1" t="s">
        <v>30</v>
      </c>
      <c r="G13" s="129"/>
      <c r="I13" s="3">
        <v>6</v>
      </c>
      <c r="J13" s="3"/>
      <c r="K13" s="3">
        <f t="shared" si="0"/>
        <v>94800</v>
      </c>
      <c r="L13" s="7">
        <f t="shared" si="1"/>
        <v>750</v>
      </c>
      <c r="M13" s="7">
        <f t="shared" si="2"/>
        <v>-168000</v>
      </c>
      <c r="N13" s="3">
        <f t="shared" si="3"/>
        <v>-1600</v>
      </c>
      <c r="O13" s="3">
        <f t="shared" si="4"/>
        <v>-74050</v>
      </c>
      <c r="P13" s="15">
        <f t="shared" si="5"/>
        <v>-66142.401435973283</v>
      </c>
      <c r="Q13" s="18">
        <v>20000</v>
      </c>
      <c r="R13" s="18">
        <f t="shared" si="6"/>
        <v>123000</v>
      </c>
      <c r="S13" s="16">
        <f t="shared" si="8"/>
        <v>300769.50259576784</v>
      </c>
      <c r="T13">
        <f t="shared" si="7"/>
        <v>306484.12314508739</v>
      </c>
    </row>
    <row r="14" spans="2:22">
      <c r="B14" s="133"/>
      <c r="C14" s="2" t="s">
        <v>12</v>
      </c>
      <c r="D14" s="2" t="s">
        <v>16</v>
      </c>
      <c r="E14" s="131"/>
      <c r="F14" s="1" t="s">
        <v>31</v>
      </c>
      <c r="G14" s="129"/>
      <c r="I14" s="3">
        <v>7</v>
      </c>
      <c r="J14" s="3"/>
      <c r="K14" s="3">
        <f t="shared" si="0"/>
        <v>94800</v>
      </c>
      <c r="L14" s="7">
        <f t="shared" si="1"/>
        <v>750</v>
      </c>
      <c r="M14" s="7">
        <f t="shared" si="2"/>
        <v>-168000</v>
      </c>
      <c r="N14" s="3">
        <f t="shared" si="3"/>
        <v>-1600</v>
      </c>
      <c r="O14" s="3">
        <f t="shared" si="4"/>
        <v>-74050</v>
      </c>
      <c r="P14" s="15">
        <f t="shared" si="5"/>
        <v>-64909.128003899204</v>
      </c>
      <c r="Q14" s="18">
        <v>20000</v>
      </c>
      <c r="R14" s="18">
        <f t="shared" si="6"/>
        <v>143000</v>
      </c>
      <c r="S14" s="16">
        <f t="shared" si="8"/>
        <v>261574.99514118818</v>
      </c>
      <c r="T14">
        <f t="shared" si="7"/>
        <v>266544.92004887073</v>
      </c>
      <c r="V14">
        <v>14400</v>
      </c>
    </row>
    <row r="15" spans="2:22">
      <c r="B15" s="133"/>
      <c r="C15" s="22" t="s">
        <v>4</v>
      </c>
      <c r="D15" s="22" t="s">
        <v>16</v>
      </c>
      <c r="E15" s="131"/>
      <c r="F15" s="1" t="s">
        <v>32</v>
      </c>
      <c r="G15" s="129"/>
      <c r="I15" s="3">
        <v>8</v>
      </c>
      <c r="J15" s="3"/>
      <c r="K15" s="3">
        <f t="shared" si="0"/>
        <v>94800</v>
      </c>
      <c r="L15" s="7">
        <f t="shared" si="1"/>
        <v>750</v>
      </c>
      <c r="M15" s="7">
        <f t="shared" si="2"/>
        <v>-168000</v>
      </c>
      <c r="N15" s="3">
        <f t="shared" si="3"/>
        <v>-1600</v>
      </c>
      <c r="O15" s="3">
        <f t="shared" si="4"/>
        <v>-74050</v>
      </c>
      <c r="P15" s="15">
        <f t="shared" si="5"/>
        <v>-63698.849856623361</v>
      </c>
      <c r="Q15" s="18">
        <v>20000</v>
      </c>
      <c r="R15" s="18">
        <f t="shared" si="6"/>
        <v>163000</v>
      </c>
      <c r="S15" s="16">
        <f t="shared" si="8"/>
        <v>222846.07019224737</v>
      </c>
      <c r="T15">
        <f t="shared" si="7"/>
        <v>227080.14552590004</v>
      </c>
      <c r="V15">
        <v>24000</v>
      </c>
    </row>
    <row r="16" spans="2:22">
      <c r="B16" s="133"/>
      <c r="C16" s="22" t="s">
        <v>13</v>
      </c>
      <c r="D16" s="22" t="s">
        <v>17</v>
      </c>
      <c r="E16" s="132"/>
      <c r="F16" s="1" t="s">
        <v>23</v>
      </c>
      <c r="G16" s="9">
        <f>G7</f>
        <v>94800</v>
      </c>
      <c r="I16" s="3">
        <v>9</v>
      </c>
      <c r="J16" s="3"/>
      <c r="K16" s="3">
        <f t="shared" si="0"/>
        <v>94800</v>
      </c>
      <c r="L16" s="7">
        <f t="shared" si="1"/>
        <v>750</v>
      </c>
      <c r="M16" s="7">
        <f t="shared" si="2"/>
        <v>-168000</v>
      </c>
      <c r="N16" s="3">
        <f t="shared" si="3"/>
        <v>-1600</v>
      </c>
      <c r="O16" s="3">
        <f t="shared" si="4"/>
        <v>-74050</v>
      </c>
      <c r="P16" s="15">
        <f t="shared" si="5"/>
        <v>-62511.138230248645</v>
      </c>
      <c r="Q16" s="18">
        <v>20000</v>
      </c>
      <c r="R16" s="18">
        <f t="shared" si="6"/>
        <v>183000</v>
      </c>
      <c r="S16" s="16">
        <f t="shared" si="8"/>
        <v>184569.00729565139</v>
      </c>
      <c r="T16">
        <f t="shared" si="7"/>
        <v>188075.81843426876</v>
      </c>
      <c r="V16">
        <v>4200</v>
      </c>
    </row>
    <row r="17" spans="2:23">
      <c r="B17" s="133"/>
      <c r="C17" s="2"/>
      <c r="D17" s="2"/>
      <c r="E17" s="133" t="s">
        <v>33</v>
      </c>
      <c r="F17" s="133"/>
      <c r="G17" s="1">
        <v>35000</v>
      </c>
      <c r="I17" s="3">
        <v>10</v>
      </c>
      <c r="J17" s="13">
        <f>+D10</f>
        <v>109470</v>
      </c>
      <c r="K17" s="3">
        <f t="shared" si="0"/>
        <v>94800</v>
      </c>
      <c r="L17" s="7">
        <f t="shared" si="1"/>
        <v>750</v>
      </c>
      <c r="M17" s="7">
        <f t="shared" si="2"/>
        <v>-168000</v>
      </c>
      <c r="N17" s="3">
        <f t="shared" si="3"/>
        <v>-1600</v>
      </c>
      <c r="O17" s="3">
        <f>J17+K17+L17+M17+N17</f>
        <v>35420</v>
      </c>
      <c r="P17" s="15">
        <f t="shared" si="5"/>
        <v>29343.148856605087</v>
      </c>
      <c r="Q17" s="18">
        <v>0</v>
      </c>
      <c r="R17" s="18">
        <f>+R16+Q17-J17</f>
        <v>73530</v>
      </c>
      <c r="S17" s="16">
        <f t="shared" si="8"/>
        <v>217418.96729087384</v>
      </c>
      <c r="T17">
        <f t="shared" si="7"/>
        <v>221549.92766940044</v>
      </c>
      <c r="V17">
        <v>12000</v>
      </c>
    </row>
    <row r="18" spans="2:23">
      <c r="B18" s="133"/>
      <c r="C18" s="2"/>
      <c r="D18" s="2"/>
      <c r="E18" s="133" t="s">
        <v>34</v>
      </c>
      <c r="F18" s="1" t="s">
        <v>35</v>
      </c>
      <c r="G18" s="1">
        <v>36000</v>
      </c>
      <c r="I18" s="3">
        <v>11</v>
      </c>
      <c r="J18" s="3"/>
      <c r="K18" s="3">
        <f t="shared" si="0"/>
        <v>94800</v>
      </c>
      <c r="L18" s="7">
        <f t="shared" si="1"/>
        <v>750</v>
      </c>
      <c r="M18" s="7">
        <f t="shared" si="2"/>
        <v>-168000</v>
      </c>
      <c r="N18" s="3">
        <f t="shared" si="3"/>
        <v>-1600</v>
      </c>
      <c r="O18" s="3">
        <f t="shared" si="4"/>
        <v>-74050</v>
      </c>
      <c r="P18" s="15">
        <f t="shared" si="5"/>
        <v>-60201.739308630284</v>
      </c>
      <c r="Q18" s="18">
        <v>20000</v>
      </c>
      <c r="R18" s="18">
        <f t="shared" si="6"/>
        <v>93530</v>
      </c>
      <c r="S18" s="16">
        <f t="shared" si="8"/>
        <v>181348.18836077015</v>
      </c>
      <c r="T18">
        <f t="shared" si="7"/>
        <v>184793.80393962475</v>
      </c>
      <c r="V18">
        <v>700</v>
      </c>
    </row>
    <row r="19" spans="2:23">
      <c r="B19" s="133"/>
      <c r="C19" s="2"/>
      <c r="D19" s="2"/>
      <c r="E19" s="133"/>
      <c r="F19" s="1" t="s">
        <v>17</v>
      </c>
      <c r="G19" s="1">
        <v>47000</v>
      </c>
      <c r="I19" s="3">
        <v>12</v>
      </c>
      <c r="J19" s="3"/>
      <c r="K19" s="3">
        <f t="shared" si="0"/>
        <v>94800</v>
      </c>
      <c r="L19" s="7">
        <f t="shared" si="1"/>
        <v>750</v>
      </c>
      <c r="M19" s="7">
        <f t="shared" si="2"/>
        <v>-168000</v>
      </c>
      <c r="N19" s="3">
        <f t="shared" si="3"/>
        <v>-1600</v>
      </c>
      <c r="O19" s="3">
        <f t="shared" si="4"/>
        <v>-74050</v>
      </c>
      <c r="P19" s="15">
        <f t="shared" si="5"/>
        <v>-59079.233865191643</v>
      </c>
      <c r="Q19" s="18">
        <v>20000</v>
      </c>
      <c r="R19" s="18">
        <f t="shared" si="6"/>
        <v>113530</v>
      </c>
      <c r="S19" s="16">
        <f t="shared" si="8"/>
        <v>145714.57007443311</v>
      </c>
      <c r="T19">
        <f t="shared" si="7"/>
        <v>148483.14690584733</v>
      </c>
      <c r="V19">
        <v>24200</v>
      </c>
    </row>
    <row r="20" spans="2:23">
      <c r="B20" s="133"/>
      <c r="C20" s="2"/>
      <c r="D20" s="2"/>
      <c r="E20" s="133"/>
      <c r="F20" s="1" t="s">
        <v>36</v>
      </c>
      <c r="G20" s="1">
        <v>23000</v>
      </c>
      <c r="I20" s="3">
        <v>13</v>
      </c>
      <c r="J20" s="3"/>
      <c r="K20" s="3">
        <f t="shared" si="0"/>
        <v>94800</v>
      </c>
      <c r="L20" s="7">
        <f t="shared" si="1"/>
        <v>750</v>
      </c>
      <c r="M20" s="7">
        <f t="shared" si="2"/>
        <v>-168000</v>
      </c>
      <c r="N20" s="3">
        <f t="shared" si="3"/>
        <v>-1600</v>
      </c>
      <c r="O20" s="3">
        <f t="shared" si="4"/>
        <v>-74050</v>
      </c>
      <c r="P20" s="15">
        <f t="shared" si="5"/>
        <v>-57977.658356419684</v>
      </c>
      <c r="Q20" s="18">
        <v>20000</v>
      </c>
      <c r="R20" s="18">
        <f t="shared" si="6"/>
        <v>133530</v>
      </c>
      <c r="S20" s="16">
        <f t="shared" si="8"/>
        <v>110505.48854942765</v>
      </c>
      <c r="T20">
        <f t="shared" si="7"/>
        <v>112605.09283186677</v>
      </c>
      <c r="V20">
        <v>2800</v>
      </c>
    </row>
    <row r="21" spans="2:23">
      <c r="I21" s="3">
        <v>14</v>
      </c>
      <c r="J21" s="3"/>
      <c r="K21" s="3">
        <f t="shared" si="0"/>
        <v>94800</v>
      </c>
      <c r="L21" s="7">
        <f t="shared" si="1"/>
        <v>750</v>
      </c>
      <c r="M21" s="7">
        <f t="shared" si="2"/>
        <v>-168000</v>
      </c>
      <c r="N21" s="3">
        <f t="shared" si="3"/>
        <v>-1600</v>
      </c>
      <c r="O21" s="3">
        <f t="shared" si="4"/>
        <v>-74050</v>
      </c>
      <c r="P21" s="15">
        <f t="shared" si="5"/>
        <v>-56896.622528380445</v>
      </c>
      <c r="Q21" s="18">
        <v>20000</v>
      </c>
      <c r="R21" s="18">
        <f t="shared" si="6"/>
        <v>153530</v>
      </c>
      <c r="S21" s="16">
        <f t="shared" si="8"/>
        <v>75708.470303486334</v>
      </c>
      <c r="T21">
        <f t="shared" si="7"/>
        <v>77146.931239252561</v>
      </c>
      <c r="V21">
        <v>9900</v>
      </c>
    </row>
    <row r="22" spans="2:23">
      <c r="F22" s="14">
        <v>6000</v>
      </c>
      <c r="G22" s="14">
        <v>94800</v>
      </c>
      <c r="I22" s="23">
        <v>15</v>
      </c>
      <c r="J22" s="23"/>
      <c r="K22" s="23">
        <f t="shared" si="0"/>
        <v>94800</v>
      </c>
      <c r="L22" s="23">
        <f t="shared" si="1"/>
        <v>750</v>
      </c>
      <c r="M22" s="23">
        <f t="shared" si="2"/>
        <v>-168000</v>
      </c>
      <c r="N22" s="23">
        <f t="shared" si="3"/>
        <v>-1600</v>
      </c>
      <c r="O22" s="23">
        <f t="shared" si="4"/>
        <v>-74050</v>
      </c>
      <c r="P22" s="24">
        <f t="shared" si="5"/>
        <v>-55835.743403709959</v>
      </c>
      <c r="Q22" s="18">
        <f t="shared" ref="Q22:Q32" si="9">+$R$4</f>
        <v>23000</v>
      </c>
      <c r="R22" s="18">
        <f t="shared" si="6"/>
        <v>176530</v>
      </c>
      <c r="S22" s="16">
        <f t="shared" si="8"/>
        <v>44311.187835542602</v>
      </c>
      <c r="T22">
        <f t="shared" si="7"/>
        <v>45153.100404417906</v>
      </c>
      <c r="V22">
        <v>0</v>
      </c>
    </row>
    <row r="23" spans="2:23">
      <c r="F23" s="14">
        <v>4500</v>
      </c>
      <c r="G23" s="14">
        <v>74040</v>
      </c>
      <c r="I23" s="8">
        <v>16</v>
      </c>
      <c r="J23" s="8"/>
      <c r="K23" s="8">
        <f t="shared" si="0"/>
        <v>94800</v>
      </c>
      <c r="L23" s="8">
        <f t="shared" si="1"/>
        <v>750</v>
      </c>
      <c r="M23" s="8">
        <f t="shared" si="2"/>
        <v>-168000</v>
      </c>
      <c r="N23" s="8">
        <f t="shared" si="3"/>
        <v>-1600</v>
      </c>
      <c r="O23" s="8">
        <f t="shared" ref="O23:O32" si="10">K23+L23+M23+N23</f>
        <v>-74050</v>
      </c>
      <c r="P23" s="15">
        <f t="shared" si="5"/>
        <v>-54794.645145937153</v>
      </c>
      <c r="Q23" s="18">
        <f t="shared" si="9"/>
        <v>23000</v>
      </c>
      <c r="R23" s="18">
        <f t="shared" ref="R23:R32" si="11">+R22+Q23</f>
        <v>199530</v>
      </c>
      <c r="S23" s="16">
        <f t="shared" si="8"/>
        <v>13358.455258480753</v>
      </c>
      <c r="T23">
        <f t="shared" ref="T23:T32" si="12">+S23*$P$2</f>
        <v>13612.265908391886</v>
      </c>
      <c r="V23">
        <v>5000</v>
      </c>
      <c r="W23">
        <f>SUM(V14:V23)</f>
        <v>97200</v>
      </c>
    </row>
    <row r="24" spans="2:23">
      <c r="C24">
        <v>0</v>
      </c>
      <c r="D24">
        <v>0</v>
      </c>
      <c r="F24" s="14">
        <v>3000</v>
      </c>
      <c r="G24" s="14">
        <v>63180</v>
      </c>
      <c r="I24" s="8">
        <v>17</v>
      </c>
      <c r="J24" s="8"/>
      <c r="K24" s="8">
        <f t="shared" si="0"/>
        <v>94800</v>
      </c>
      <c r="L24" s="8">
        <f t="shared" si="1"/>
        <v>750</v>
      </c>
      <c r="M24" s="8">
        <f t="shared" si="2"/>
        <v>-168000</v>
      </c>
      <c r="N24" s="8">
        <f t="shared" si="3"/>
        <v>-1600</v>
      </c>
      <c r="O24" s="8">
        <f t="shared" si="10"/>
        <v>-74050</v>
      </c>
      <c r="P24" s="15">
        <f t="shared" si="5"/>
        <v>-53772.95892633676</v>
      </c>
      <c r="Q24" s="18">
        <f t="shared" si="9"/>
        <v>23000</v>
      </c>
      <c r="R24" s="18">
        <f t="shared" si="11"/>
        <v>222530</v>
      </c>
      <c r="S24" s="16">
        <f t="shared" si="8"/>
        <v>-17160.693017944875</v>
      </c>
      <c r="T24">
        <f t="shared" si="12"/>
        <v>-17486.746185285825</v>
      </c>
      <c r="V24">
        <v>301602</v>
      </c>
    </row>
    <row r="25" spans="2:23">
      <c r="F25" s="14"/>
      <c r="G25" s="14"/>
      <c r="I25" s="8">
        <v>18</v>
      </c>
      <c r="J25" s="8"/>
      <c r="K25" s="8">
        <f t="shared" si="0"/>
        <v>94800</v>
      </c>
      <c r="L25" s="8">
        <f t="shared" si="1"/>
        <v>750</v>
      </c>
      <c r="M25" s="8">
        <f t="shared" si="2"/>
        <v>-168000</v>
      </c>
      <c r="N25" s="8">
        <f t="shared" si="3"/>
        <v>-1600</v>
      </c>
      <c r="O25" s="8">
        <f t="shared" si="10"/>
        <v>-74050</v>
      </c>
      <c r="P25" s="15">
        <f t="shared" si="5"/>
        <v>-52770.322793264735</v>
      </c>
      <c r="Q25" s="18">
        <f t="shared" si="9"/>
        <v>23000</v>
      </c>
      <c r="R25" s="18">
        <f t="shared" si="11"/>
        <v>245530</v>
      </c>
      <c r="S25" s="16">
        <f t="shared" si="8"/>
        <v>-47257.068978550553</v>
      </c>
      <c r="T25">
        <f t="shared" si="12"/>
        <v>-48154.953289143006</v>
      </c>
      <c r="V25">
        <f>SUM(V14:V24)</f>
        <v>398802</v>
      </c>
    </row>
    <row r="26" spans="2:23">
      <c r="F26" s="14"/>
      <c r="G26" s="14"/>
      <c r="I26" s="8">
        <v>19</v>
      </c>
      <c r="J26" s="8"/>
      <c r="K26" s="8">
        <f t="shared" si="0"/>
        <v>94800</v>
      </c>
      <c r="L26" s="8">
        <f t="shared" si="1"/>
        <v>750</v>
      </c>
      <c r="M26" s="8">
        <f t="shared" si="2"/>
        <v>-168000</v>
      </c>
      <c r="N26" s="8">
        <f t="shared" si="3"/>
        <v>-1600</v>
      </c>
      <c r="O26" s="8">
        <f t="shared" si="10"/>
        <v>-74050</v>
      </c>
      <c r="P26" s="15">
        <f t="shared" si="5"/>
        <v>-51786.38154393006</v>
      </c>
      <c r="Q26" s="18">
        <f t="shared" si="9"/>
        <v>23000</v>
      </c>
      <c r="R26" s="18">
        <f t="shared" si="11"/>
        <v>268530</v>
      </c>
      <c r="S26" s="16">
        <f t="shared" si="8"/>
        <v>-76941.334833073066</v>
      </c>
      <c r="T26">
        <f t="shared" si="12"/>
        <v>-78403.220194901442</v>
      </c>
    </row>
    <row r="27" spans="2:23">
      <c r="F27" s="14"/>
      <c r="G27" s="14"/>
      <c r="I27" s="8">
        <v>20</v>
      </c>
      <c r="J27" s="8"/>
      <c r="K27" s="8">
        <f t="shared" si="0"/>
        <v>94800</v>
      </c>
      <c r="L27" s="8">
        <f t="shared" si="1"/>
        <v>750</v>
      </c>
      <c r="M27" s="8">
        <f t="shared" si="2"/>
        <v>-168000</v>
      </c>
      <c r="N27" s="8">
        <f t="shared" si="3"/>
        <v>-1600</v>
      </c>
      <c r="O27" s="8">
        <f t="shared" si="10"/>
        <v>-74050</v>
      </c>
      <c r="P27" s="15">
        <f t="shared" si="5"/>
        <v>-50820.786598557475</v>
      </c>
      <c r="Q27" s="18">
        <f t="shared" si="9"/>
        <v>23000</v>
      </c>
      <c r="R27" s="18">
        <f t="shared" si="11"/>
        <v>291530</v>
      </c>
      <c r="S27" s="16">
        <f t="shared" si="8"/>
        <v>-106224.00679345892</v>
      </c>
      <c r="T27">
        <f t="shared" si="12"/>
        <v>-108242.26292253463</v>
      </c>
    </row>
    <row r="28" spans="2:23">
      <c r="F28" s="14"/>
      <c r="G28" s="14"/>
      <c r="I28" s="8">
        <v>21</v>
      </c>
      <c r="J28" s="8"/>
      <c r="K28" s="8">
        <f t="shared" si="0"/>
        <v>94800</v>
      </c>
      <c r="L28" s="8">
        <f t="shared" si="1"/>
        <v>750</v>
      </c>
      <c r="M28" s="8">
        <f t="shared" si="2"/>
        <v>-168000</v>
      </c>
      <c r="N28" s="8">
        <f t="shared" si="3"/>
        <v>-1600</v>
      </c>
      <c r="O28" s="8">
        <f t="shared" si="10"/>
        <v>-74050</v>
      </c>
      <c r="P28" s="15">
        <f t="shared" si="5"/>
        <v>-49873.195876896447</v>
      </c>
      <c r="Q28" s="18">
        <f t="shared" si="9"/>
        <v>23000</v>
      </c>
      <c r="R28" s="18">
        <f t="shared" si="11"/>
        <v>314530</v>
      </c>
      <c r="S28" s="16">
        <f t="shared" si="8"/>
        <v>-135115.45879943107</v>
      </c>
      <c r="T28">
        <f t="shared" si="12"/>
        <v>-137682.65251662026</v>
      </c>
    </row>
    <row r="29" spans="2:23">
      <c r="F29" s="14"/>
      <c r="G29" s="14"/>
      <c r="I29" s="8">
        <v>22</v>
      </c>
      <c r="J29" s="8"/>
      <c r="K29" s="8">
        <f t="shared" si="0"/>
        <v>94800</v>
      </c>
      <c r="L29" s="8">
        <f t="shared" si="1"/>
        <v>750</v>
      </c>
      <c r="M29" s="8">
        <f t="shared" si="2"/>
        <v>-168000</v>
      </c>
      <c r="N29" s="8">
        <f t="shared" si="3"/>
        <v>-1600</v>
      </c>
      <c r="O29" s="8">
        <f t="shared" si="10"/>
        <v>-74050</v>
      </c>
      <c r="P29" s="15">
        <f t="shared" si="5"/>
        <v>-48943.273677032812</v>
      </c>
      <c r="Q29" s="18">
        <f t="shared" si="9"/>
        <v>23000</v>
      </c>
      <c r="R29" s="18">
        <f t="shared" si="11"/>
        <v>337530</v>
      </c>
      <c r="S29" s="16">
        <f t="shared" si="8"/>
        <v>-163625.92619365308</v>
      </c>
      <c r="T29">
        <f t="shared" si="12"/>
        <v>-166734.81879133248</v>
      </c>
    </row>
    <row r="30" spans="2:23">
      <c r="F30" s="14"/>
      <c r="G30" s="14"/>
      <c r="I30" s="8">
        <v>23</v>
      </c>
      <c r="J30" s="8"/>
      <c r="K30" s="8">
        <f t="shared" si="0"/>
        <v>94800</v>
      </c>
      <c r="L30" s="8">
        <f t="shared" si="1"/>
        <v>750</v>
      </c>
      <c r="M30" s="8">
        <f t="shared" si="2"/>
        <v>-168000</v>
      </c>
      <c r="N30" s="8">
        <f t="shared" si="3"/>
        <v>-1600</v>
      </c>
      <c r="O30" s="8">
        <f t="shared" si="10"/>
        <v>-74050</v>
      </c>
      <c r="P30" s="15">
        <f t="shared" si="5"/>
        <v>-48030.690556460082</v>
      </c>
      <c r="Q30" s="18">
        <f t="shared" si="9"/>
        <v>23000</v>
      </c>
      <c r="R30" s="18">
        <f t="shared" si="11"/>
        <v>360530</v>
      </c>
      <c r="S30" s="16">
        <f t="shared" si="8"/>
        <v>-191765.50934779257</v>
      </c>
      <c r="T30">
        <f t="shared" si="12"/>
        <v>-195409.0540254006</v>
      </c>
    </row>
    <row r="31" spans="2:23">
      <c r="F31" s="14"/>
      <c r="G31" s="14"/>
      <c r="I31" s="8">
        <v>24</v>
      </c>
      <c r="J31" s="8"/>
      <c r="K31" s="8">
        <f t="shared" si="0"/>
        <v>94800</v>
      </c>
      <c r="L31" s="8">
        <f t="shared" si="1"/>
        <v>750</v>
      </c>
      <c r="M31" s="8">
        <f t="shared" si="2"/>
        <v>-168000</v>
      </c>
      <c r="N31" s="8">
        <f t="shared" si="3"/>
        <v>-1600</v>
      </c>
      <c r="O31" s="8">
        <f t="shared" si="10"/>
        <v>-74050</v>
      </c>
      <c r="P31" s="15">
        <f t="shared" si="5"/>
        <v>-47135.12321536809</v>
      </c>
      <c r="Q31" s="18">
        <f t="shared" si="9"/>
        <v>23000</v>
      </c>
      <c r="R31" s="18">
        <f t="shared" si="11"/>
        <v>383530</v>
      </c>
      <c r="S31" s="16">
        <f t="shared" si="8"/>
        <v>-219544.17724076868</v>
      </c>
      <c r="T31">
        <f t="shared" si="12"/>
        <v>-223715.51660834326</v>
      </c>
    </row>
    <row r="32" spans="2:23">
      <c r="F32" s="14"/>
      <c r="G32" s="14"/>
      <c r="I32" s="8">
        <v>25</v>
      </c>
      <c r="J32" s="8"/>
      <c r="K32" s="8">
        <f t="shared" si="0"/>
        <v>94800</v>
      </c>
      <c r="L32" s="8">
        <f t="shared" si="1"/>
        <v>750</v>
      </c>
      <c r="M32" s="8">
        <f t="shared" si="2"/>
        <v>-168000</v>
      </c>
      <c r="N32" s="8">
        <f t="shared" si="3"/>
        <v>-1600</v>
      </c>
      <c r="O32" s="8">
        <f t="shared" si="10"/>
        <v>-74050</v>
      </c>
      <c r="P32" s="15">
        <f t="shared" si="5"/>
        <v>-46256.25438210804</v>
      </c>
      <c r="Q32" s="18">
        <f t="shared" si="9"/>
        <v>23000</v>
      </c>
      <c r="R32" s="18">
        <f t="shared" si="11"/>
        <v>406530</v>
      </c>
      <c r="S32" s="16">
        <f t="shared" si="8"/>
        <v>-246971.77099045127</v>
      </c>
      <c r="T32">
        <f t="shared" si="12"/>
        <v>-251664.23463926982</v>
      </c>
    </row>
    <row r="33" spans="3:16">
      <c r="F33" s="14"/>
      <c r="G33" s="14"/>
      <c r="I33" s="3" t="s">
        <v>46</v>
      </c>
      <c r="J33" s="3"/>
      <c r="K33" s="3"/>
      <c r="L33" s="3"/>
      <c r="M33" s="3"/>
      <c r="N33" s="3"/>
      <c r="O33" s="3"/>
      <c r="P33" s="15">
        <f>+S22</f>
        <v>44311.187835542602</v>
      </c>
    </row>
    <row r="34" spans="3:16">
      <c r="C34">
        <v>56300</v>
      </c>
      <c r="D34">
        <v>10400</v>
      </c>
      <c r="E34">
        <f>+D34/C34</f>
        <v>0.1847246891651865</v>
      </c>
    </row>
    <row r="35" spans="3:16">
      <c r="C35">
        <v>93800</v>
      </c>
      <c r="D35">
        <v>12000</v>
      </c>
      <c r="E35">
        <f>+D35/C35</f>
        <v>0.1279317697228145</v>
      </c>
    </row>
  </sheetData>
  <mergeCells count="12">
    <mergeCell ref="B1:G1"/>
    <mergeCell ref="G7:G15"/>
    <mergeCell ref="E7:E16"/>
    <mergeCell ref="B2:C2"/>
    <mergeCell ref="E2:F2"/>
    <mergeCell ref="B3:B5"/>
    <mergeCell ref="B6:B9"/>
    <mergeCell ref="B11:B20"/>
    <mergeCell ref="C11:D11"/>
    <mergeCell ref="E3:E6"/>
    <mergeCell ref="E17:F17"/>
    <mergeCell ref="E18:E20"/>
  </mergeCells>
  <phoneticPr fontId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A13" sqref="A13:C18"/>
    </sheetView>
  </sheetViews>
  <sheetFormatPr defaultRowHeight="13.5"/>
  <cols>
    <col min="1" max="1" width="25.125" customWidth="1"/>
    <col min="2" max="2" width="13.375" customWidth="1"/>
    <col min="3" max="7" width="20" customWidth="1"/>
    <col min="8" max="8" width="17.875" customWidth="1"/>
  </cols>
  <sheetData>
    <row r="1" spans="1:9">
      <c r="A1" s="1"/>
      <c r="B1" s="1"/>
      <c r="C1" s="1" t="s">
        <v>250</v>
      </c>
      <c r="D1" s="1" t="s">
        <v>251</v>
      </c>
      <c r="E1" s="1" t="s">
        <v>252</v>
      </c>
      <c r="F1" s="1" t="s">
        <v>253</v>
      </c>
      <c r="G1" s="1" t="s">
        <v>255</v>
      </c>
      <c r="H1" s="1" t="s">
        <v>257</v>
      </c>
    </row>
    <row r="2" spans="1:9" ht="20.25">
      <c r="A2" s="9" t="s">
        <v>258</v>
      </c>
      <c r="B2" s="9"/>
      <c r="C2" s="124">
        <v>-5005.5904533466983</v>
      </c>
      <c r="D2" s="124">
        <v>9994.4095466533199</v>
      </c>
      <c r="E2" s="124">
        <v>29802.054588192688</v>
      </c>
      <c r="F2" s="124">
        <v>15028.884253087355</v>
      </c>
      <c r="G2" s="124">
        <v>-82993</v>
      </c>
      <c r="H2" s="124">
        <v>205475</v>
      </c>
    </row>
    <row r="3" spans="1:9" ht="20.25">
      <c r="A3" s="35" t="s">
        <v>244</v>
      </c>
      <c r="B3" s="35" t="s">
        <v>245</v>
      </c>
      <c r="C3" s="124">
        <v>607</v>
      </c>
      <c r="D3" s="124">
        <v>607</v>
      </c>
      <c r="E3" s="124">
        <v>303.5</v>
      </c>
      <c r="F3" s="124">
        <v>455.25</v>
      </c>
      <c r="G3" s="124">
        <v>-96</v>
      </c>
      <c r="H3" s="124">
        <v>-763</v>
      </c>
    </row>
    <row r="4" spans="1:9" ht="20.25">
      <c r="A4" s="125" t="s">
        <v>246</v>
      </c>
      <c r="B4" s="125" t="s">
        <v>245</v>
      </c>
      <c r="C4" s="126">
        <v>823</v>
      </c>
      <c r="D4" s="126">
        <v>823</v>
      </c>
      <c r="E4" s="126">
        <v>411.5</v>
      </c>
      <c r="F4" s="126">
        <v>617.25</v>
      </c>
      <c r="G4" s="126"/>
      <c r="H4" s="126"/>
      <c r="I4" s="123"/>
    </row>
    <row r="5" spans="1:9" ht="20.25">
      <c r="A5" s="125" t="s">
        <v>247</v>
      </c>
      <c r="B5" s="125"/>
      <c r="C5" s="126">
        <v>-8.2464422625151528</v>
      </c>
      <c r="D5" s="126">
        <v>16.465254607336608</v>
      </c>
      <c r="E5" s="126">
        <v>98.194578544292213</v>
      </c>
      <c r="F5" s="126">
        <v>33.012376173722913</v>
      </c>
      <c r="G5" s="126">
        <v>865</v>
      </c>
      <c r="H5" s="126">
        <v>-269</v>
      </c>
      <c r="I5" s="123"/>
    </row>
    <row r="6" spans="1:9" ht="20.25">
      <c r="A6" s="125" t="s">
        <v>248</v>
      </c>
      <c r="B6" s="125"/>
      <c r="C6" s="126">
        <v>-6.0821269177967174</v>
      </c>
      <c r="D6" s="126">
        <v>12.143875512336962</v>
      </c>
      <c r="E6" s="126">
        <v>72.422975912983446</v>
      </c>
      <c r="F6" s="126">
        <v>24.348131637241565</v>
      </c>
      <c r="G6" s="126"/>
      <c r="H6" s="126"/>
      <c r="I6" s="123"/>
    </row>
    <row r="7" spans="1:9">
      <c r="A7" s="123"/>
      <c r="B7" s="123"/>
      <c r="C7" s="123"/>
      <c r="D7" s="123"/>
      <c r="E7" s="123"/>
      <c r="F7" s="123"/>
      <c r="G7" s="123"/>
      <c r="H7" s="123"/>
      <c r="I7" s="123"/>
    </row>
    <row r="8" spans="1:9">
      <c r="A8" s="123"/>
      <c r="B8" s="123"/>
      <c r="C8" s="123"/>
      <c r="D8" s="123"/>
      <c r="E8" s="123"/>
      <c r="F8" s="123"/>
      <c r="G8" s="123"/>
      <c r="H8" s="123"/>
      <c r="I8" s="123"/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3"/>
      <c r="B10" s="123"/>
      <c r="C10" s="123"/>
      <c r="D10" s="123"/>
      <c r="E10" s="123"/>
      <c r="F10" s="123"/>
      <c r="G10" s="123"/>
      <c r="H10" s="123"/>
      <c r="I10" s="123"/>
    </row>
    <row r="12" spans="1:9" ht="14.25">
      <c r="A12" s="1"/>
      <c r="B12" s="9" t="s">
        <v>258</v>
      </c>
      <c r="C12" s="35" t="s">
        <v>244</v>
      </c>
      <c r="D12" s="125" t="s">
        <v>246</v>
      </c>
      <c r="E12" s="125" t="s">
        <v>247</v>
      </c>
      <c r="F12" s="125" t="s">
        <v>248</v>
      </c>
    </row>
    <row r="13" spans="1:9" ht="20.25">
      <c r="A13" s="127" t="s">
        <v>250</v>
      </c>
      <c r="B13" s="124">
        <v>-5005.5904533466983</v>
      </c>
      <c r="C13" s="124">
        <v>607</v>
      </c>
      <c r="D13" s="126">
        <v>823</v>
      </c>
      <c r="E13" s="126">
        <v>-8.2464422625151528</v>
      </c>
      <c r="F13" s="126">
        <v>-6.0821269177967174</v>
      </c>
    </row>
    <row r="14" spans="1:9" ht="20.25">
      <c r="A14" s="127" t="s">
        <v>251</v>
      </c>
      <c r="B14" s="124">
        <v>9994.4095466533199</v>
      </c>
      <c r="C14" s="124">
        <v>607</v>
      </c>
      <c r="D14" s="126">
        <v>823</v>
      </c>
      <c r="E14" s="126">
        <v>16.465254607336608</v>
      </c>
      <c r="F14" s="126">
        <v>12.143875512336962</v>
      </c>
    </row>
    <row r="15" spans="1:9" ht="20.25">
      <c r="A15" s="127" t="s">
        <v>252</v>
      </c>
      <c r="B15" s="124">
        <v>29802.054588192688</v>
      </c>
      <c r="C15" s="124">
        <v>303.5</v>
      </c>
      <c r="D15" s="126">
        <v>411.5</v>
      </c>
      <c r="E15" s="126">
        <v>98.194578544292213</v>
      </c>
      <c r="F15" s="126">
        <v>72.422975912983446</v>
      </c>
    </row>
    <row r="16" spans="1:9" ht="20.25">
      <c r="A16" s="127" t="s">
        <v>253</v>
      </c>
      <c r="B16" s="124">
        <v>15028.884253087355</v>
      </c>
      <c r="C16" s="124">
        <v>455.25</v>
      </c>
      <c r="D16" s="126">
        <v>617.25</v>
      </c>
      <c r="E16" s="126">
        <v>33.012376173722913</v>
      </c>
      <c r="F16" s="126">
        <v>24.348131637241565</v>
      </c>
    </row>
    <row r="17" spans="1:6" ht="20.25">
      <c r="A17" s="127" t="s">
        <v>259</v>
      </c>
      <c r="B17" s="124">
        <v>-82993</v>
      </c>
      <c r="C17" s="124">
        <v>-96</v>
      </c>
      <c r="D17" s="126"/>
      <c r="E17" s="126">
        <v>865</v>
      </c>
      <c r="F17" s="126"/>
    </row>
    <row r="18" spans="1:6" ht="20.25">
      <c r="A18" s="127" t="s">
        <v>260</v>
      </c>
      <c r="B18" s="124">
        <v>205475</v>
      </c>
      <c r="C18" s="124">
        <v>-763</v>
      </c>
      <c r="D18" s="126"/>
      <c r="E18" s="126">
        <v>-269</v>
      </c>
      <c r="F18" s="126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F19" sqref="F19:F20"/>
    </sheetView>
  </sheetViews>
  <sheetFormatPr defaultRowHeight="13.5"/>
  <sheetData>
    <row r="1" spans="1:3">
      <c r="A1" t="s">
        <v>249</v>
      </c>
      <c r="B1">
        <v>-5005.5904533466983</v>
      </c>
      <c r="C1">
        <v>607</v>
      </c>
    </row>
    <row r="2" spans="1:3">
      <c r="A2" t="s">
        <v>251</v>
      </c>
      <c r="B2">
        <v>9994.4095466533199</v>
      </c>
      <c r="C2">
        <v>607</v>
      </c>
    </row>
    <row r="3" spans="1:3">
      <c r="A3" t="s">
        <v>252</v>
      </c>
      <c r="B3">
        <v>29802.054588192688</v>
      </c>
      <c r="C3">
        <v>303.5</v>
      </c>
    </row>
    <row r="4" spans="1:3">
      <c r="A4" t="s">
        <v>253</v>
      </c>
      <c r="B4">
        <v>15028.884253087355</v>
      </c>
      <c r="C4">
        <v>455.25</v>
      </c>
    </row>
    <row r="5" spans="1:3">
      <c r="A5" t="s">
        <v>254</v>
      </c>
      <c r="B5">
        <v>-82993</v>
      </c>
      <c r="C5">
        <v>-96</v>
      </c>
    </row>
    <row r="6" spans="1:3">
      <c r="A6" t="s">
        <v>256</v>
      </c>
      <c r="B6">
        <v>205475</v>
      </c>
      <c r="C6">
        <v>-763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5"/>
  <sheetViews>
    <sheetView tabSelected="1" topLeftCell="D1" workbookViewId="0">
      <selection activeCell="P13" sqref="P13"/>
    </sheetView>
  </sheetViews>
  <sheetFormatPr defaultRowHeight="14.25"/>
  <cols>
    <col min="1" max="2" width="9" style="27"/>
    <col min="3" max="3" width="12.5" style="27" customWidth="1"/>
    <col min="4" max="4" width="13.375" style="27" bestFit="1" customWidth="1"/>
    <col min="5" max="5" width="10.125" style="27" customWidth="1"/>
    <col min="6" max="6" width="15" style="27" customWidth="1"/>
    <col min="7" max="8" width="9" style="27"/>
    <col min="9" max="9" width="7" style="27" customWidth="1"/>
    <col min="10" max="10" width="9.125" style="27" bestFit="1" customWidth="1"/>
    <col min="11" max="11" width="13.75" style="27" customWidth="1"/>
    <col min="12" max="12" width="9.625" style="27" customWidth="1"/>
    <col min="13" max="13" width="10.375" style="27" customWidth="1"/>
    <col min="14" max="14" width="9.125" style="27" bestFit="1" customWidth="1"/>
    <col min="15" max="15" width="10.125" style="27" bestFit="1" customWidth="1"/>
    <col min="16" max="16" width="14.75" style="27" customWidth="1"/>
    <col min="17" max="17" width="13" style="27" customWidth="1"/>
    <col min="18" max="18" width="9.125" style="27" bestFit="1" customWidth="1"/>
    <col min="19" max="16384" width="9" style="27"/>
  </cols>
  <sheetData>
    <row r="1" spans="2:18" ht="15" thickBot="1">
      <c r="B1" s="136" t="s">
        <v>59</v>
      </c>
      <c r="C1" s="136"/>
      <c r="D1" s="136"/>
      <c r="E1" s="136"/>
      <c r="F1" s="136"/>
      <c r="G1" s="136"/>
      <c r="I1" s="28" t="s">
        <v>60</v>
      </c>
      <c r="J1" s="28"/>
      <c r="K1" s="28" t="s">
        <v>61</v>
      </c>
      <c r="L1" s="162">
        <f>+I2</f>
        <v>6000</v>
      </c>
      <c r="M1" s="30" t="s">
        <v>48</v>
      </c>
      <c r="N1" s="28"/>
      <c r="O1" s="28"/>
      <c r="P1" s="28"/>
      <c r="Q1" s="28"/>
    </row>
    <row r="2" spans="2:18" ht="15" thickBot="1">
      <c r="B2" s="137" t="s">
        <v>62</v>
      </c>
      <c r="C2" s="138"/>
      <c r="D2" s="61" t="s">
        <v>63</v>
      </c>
      <c r="E2" s="138" t="s">
        <v>62</v>
      </c>
      <c r="F2" s="138"/>
      <c r="G2" s="62" t="s">
        <v>63</v>
      </c>
      <c r="I2" s="32">
        <v>6000</v>
      </c>
      <c r="J2" s="30" t="s">
        <v>48</v>
      </c>
      <c r="K2" s="28" t="s">
        <v>64</v>
      </c>
      <c r="L2" s="29">
        <v>1600</v>
      </c>
      <c r="M2" s="30" t="s">
        <v>48</v>
      </c>
      <c r="N2" s="28"/>
      <c r="O2" s="33" t="s">
        <v>65</v>
      </c>
      <c r="P2" s="45">
        <v>1.0189999999999999</v>
      </c>
      <c r="Q2" s="34"/>
      <c r="R2" s="51">
        <f>1.019^15</f>
        <v>1.3262114102179181</v>
      </c>
    </row>
    <row r="3" spans="2:18" ht="15" thickTop="1">
      <c r="B3" s="139" t="s">
        <v>66</v>
      </c>
      <c r="C3" s="59" t="s">
        <v>67</v>
      </c>
      <c r="D3" s="59">
        <v>439000</v>
      </c>
      <c r="E3" s="141" t="s">
        <v>68</v>
      </c>
      <c r="F3" s="59" t="s">
        <v>69</v>
      </c>
      <c r="G3" s="60">
        <f>+I2*I3/1000</f>
        <v>168000</v>
      </c>
      <c r="I3" s="32">
        <v>28000</v>
      </c>
      <c r="J3" s="30" t="s">
        <v>49</v>
      </c>
      <c r="K3" s="28"/>
      <c r="L3" s="33" t="s">
        <v>61</v>
      </c>
      <c r="M3" s="30">
        <f>+I3</f>
        <v>28000</v>
      </c>
      <c r="N3" s="28"/>
      <c r="O3" s="33" t="s">
        <v>70</v>
      </c>
      <c r="P3" s="45">
        <v>1.9E-2</v>
      </c>
      <c r="Q3" s="36"/>
      <c r="R3" s="37"/>
    </row>
    <row r="4" spans="2:18">
      <c r="B4" s="140"/>
      <c r="C4" s="31" t="s">
        <v>71</v>
      </c>
      <c r="D4" s="38">
        <v>364900</v>
      </c>
      <c r="E4" s="134"/>
      <c r="F4" s="31" t="s">
        <v>72</v>
      </c>
      <c r="G4" s="53">
        <f>-I5</f>
        <v>-750</v>
      </c>
      <c r="I4" s="28" t="s">
        <v>73</v>
      </c>
      <c r="J4" s="28"/>
      <c r="K4" s="28" t="s">
        <v>74</v>
      </c>
      <c r="L4" s="28"/>
      <c r="M4" s="28"/>
      <c r="N4" s="28" t="s">
        <v>75</v>
      </c>
      <c r="P4" s="47">
        <f>1/P5</f>
        <v>12.945916056924586</v>
      </c>
      <c r="Q4" s="28"/>
    </row>
    <row r="5" spans="2:18">
      <c r="B5" s="140"/>
      <c r="C5" s="31" t="s">
        <v>76</v>
      </c>
      <c r="D5" s="31">
        <f>D3+D4</f>
        <v>803900</v>
      </c>
      <c r="E5" s="134"/>
      <c r="F5" s="31" t="s">
        <v>77</v>
      </c>
      <c r="G5" s="53">
        <f>+L2*K5/1000</f>
        <v>1600</v>
      </c>
      <c r="I5" s="39">
        <v>750</v>
      </c>
      <c r="J5" s="30" t="s">
        <v>49</v>
      </c>
      <c r="K5" s="29">
        <v>1000</v>
      </c>
      <c r="L5" s="30" t="s">
        <v>49</v>
      </c>
      <c r="M5" s="28"/>
      <c r="N5" s="28"/>
      <c r="O5" s="28"/>
      <c r="P5" s="46">
        <f>+P3/(1-(1+P3)^-I22)</f>
        <v>7.7244437211155426E-2</v>
      </c>
      <c r="Q5" s="28"/>
    </row>
    <row r="6" spans="2:18">
      <c r="B6" s="140" t="s">
        <v>78</v>
      </c>
      <c r="C6" s="31" t="s">
        <v>79</v>
      </c>
      <c r="D6" s="31">
        <v>0</v>
      </c>
      <c r="E6" s="134"/>
      <c r="F6" s="31" t="s">
        <v>76</v>
      </c>
      <c r="G6" s="54">
        <f>G3+G4+G5</f>
        <v>168850</v>
      </c>
      <c r="I6" s="25"/>
      <c r="J6" s="25" t="s">
        <v>80</v>
      </c>
      <c r="K6" s="25" t="s">
        <v>81</v>
      </c>
      <c r="L6" s="25" t="s">
        <v>73</v>
      </c>
      <c r="M6" s="25" t="s">
        <v>61</v>
      </c>
      <c r="N6" s="25" t="s">
        <v>82</v>
      </c>
      <c r="O6" s="25" t="s">
        <v>83</v>
      </c>
      <c r="P6" s="25" t="s">
        <v>84</v>
      </c>
      <c r="Q6" s="36"/>
    </row>
    <row r="7" spans="2:18">
      <c r="B7" s="140"/>
      <c r="C7" s="31" t="s">
        <v>85</v>
      </c>
      <c r="D7" s="31">
        <v>538269</v>
      </c>
      <c r="E7" s="142" t="s">
        <v>86</v>
      </c>
      <c r="F7" s="31" t="s">
        <v>87</v>
      </c>
      <c r="G7" s="144">
        <f>IF($I2=F22,G22,IF($I2=F23,G23,IF($I2=F24,G24)))</f>
        <v>94800</v>
      </c>
      <c r="I7" s="25">
        <v>0</v>
      </c>
      <c r="J7" s="48">
        <f>IF(I2=F22,H22,IF(I2=F23,H23,IF(I2=F24,H24,"")))</f>
        <v>803900</v>
      </c>
      <c r="K7" s="48"/>
      <c r="L7" s="48"/>
      <c r="M7" s="48"/>
      <c r="N7" s="48"/>
      <c r="O7" s="48">
        <f>J7</f>
        <v>803900</v>
      </c>
      <c r="P7" s="48">
        <f>O7</f>
        <v>803900</v>
      </c>
      <c r="Q7" s="36">
        <f>+P7</f>
        <v>803900</v>
      </c>
      <c r="R7" s="36"/>
    </row>
    <row r="8" spans="2:18">
      <c r="B8" s="140"/>
      <c r="C8" s="31" t="s">
        <v>88</v>
      </c>
      <c r="D8" s="31">
        <v>265631</v>
      </c>
      <c r="E8" s="143"/>
      <c r="F8" s="31" t="s">
        <v>89</v>
      </c>
      <c r="G8" s="144"/>
      <c r="I8" s="25">
        <v>1</v>
      </c>
      <c r="J8" s="48"/>
      <c r="K8" s="48">
        <f>$G$16</f>
        <v>94800</v>
      </c>
      <c r="L8" s="48">
        <f>-$G$4</f>
        <v>750</v>
      </c>
      <c r="M8" s="48">
        <f>-$G$3</f>
        <v>-168000</v>
      </c>
      <c r="N8" s="48">
        <f>-1*$G$5</f>
        <v>-1600</v>
      </c>
      <c r="O8" s="48">
        <f>K8+L8+M8+N8</f>
        <v>-74050</v>
      </c>
      <c r="P8" s="48">
        <f>O8/($P$2)^I8</f>
        <v>-72669.283611383711</v>
      </c>
      <c r="Q8" s="36">
        <f>+Q7+P8</f>
        <v>731230.71638861625</v>
      </c>
      <c r="R8" s="36"/>
    </row>
    <row r="9" spans="2:18">
      <c r="B9" s="140"/>
      <c r="C9" s="31" t="s">
        <v>76</v>
      </c>
      <c r="D9" s="31">
        <f>D6+D7+D8</f>
        <v>803900</v>
      </c>
      <c r="E9" s="143"/>
      <c r="F9" s="31" t="s">
        <v>90</v>
      </c>
      <c r="G9" s="144"/>
      <c r="I9" s="25">
        <v>2</v>
      </c>
      <c r="J9" s="48"/>
      <c r="K9" s="48">
        <f t="shared" ref="K9:K22" si="0">$G$16</f>
        <v>94800</v>
      </c>
      <c r="L9" s="48">
        <f t="shared" ref="L9:L22" si="1">-$G$4</f>
        <v>750</v>
      </c>
      <c r="M9" s="48">
        <f t="shared" ref="M9:M22" si="2">-$G$3</f>
        <v>-168000</v>
      </c>
      <c r="N9" s="48">
        <f t="shared" ref="N9:N22" si="3">-1*$G$5</f>
        <v>-1600</v>
      </c>
      <c r="O9" s="48">
        <f t="shared" ref="O9:O22" si="4">K9+L9+M9+N9</f>
        <v>-74050</v>
      </c>
      <c r="P9" s="48">
        <f t="shared" ref="P9:P22" si="5">O9/($P$2)^I9</f>
        <v>-71314.311689287264</v>
      </c>
      <c r="Q9" s="36">
        <f>+Q8+P9</f>
        <v>659916.40469932894</v>
      </c>
      <c r="R9" s="36"/>
    </row>
    <row r="10" spans="2:18">
      <c r="B10" s="55" t="s">
        <v>91</v>
      </c>
      <c r="C10" s="31" t="s">
        <v>92</v>
      </c>
      <c r="D10" s="35">
        <f>+D4*0.3</f>
        <v>109470</v>
      </c>
      <c r="E10" s="143"/>
      <c r="F10" s="31" t="s">
        <v>93</v>
      </c>
      <c r="G10" s="144"/>
      <c r="I10" s="25">
        <v>3</v>
      </c>
      <c r="J10" s="48"/>
      <c r="K10" s="48">
        <f t="shared" si="0"/>
        <v>94800</v>
      </c>
      <c r="L10" s="48">
        <f t="shared" si="1"/>
        <v>750</v>
      </c>
      <c r="M10" s="48">
        <f t="shared" si="2"/>
        <v>-168000</v>
      </c>
      <c r="N10" s="48">
        <f t="shared" si="3"/>
        <v>-1600</v>
      </c>
      <c r="O10" s="48">
        <f t="shared" si="4"/>
        <v>-74050</v>
      </c>
      <c r="P10" s="48">
        <f t="shared" si="5"/>
        <v>-69984.604209310361</v>
      </c>
      <c r="Q10" s="36">
        <f t="shared" ref="Q10:Q22" si="6">+Q9+P10</f>
        <v>589931.80049001856</v>
      </c>
      <c r="R10" s="36"/>
    </row>
    <row r="11" spans="2:18">
      <c r="B11" s="140"/>
      <c r="C11" s="134" t="s">
        <v>94</v>
      </c>
      <c r="D11" s="134"/>
      <c r="E11" s="143"/>
      <c r="F11" s="31" t="s">
        <v>95</v>
      </c>
      <c r="G11" s="144"/>
      <c r="I11" s="25">
        <v>4</v>
      </c>
      <c r="J11" s="48"/>
      <c r="K11" s="48">
        <f t="shared" si="0"/>
        <v>94800</v>
      </c>
      <c r="L11" s="48">
        <f t="shared" si="1"/>
        <v>750</v>
      </c>
      <c r="M11" s="48">
        <f t="shared" si="2"/>
        <v>-168000</v>
      </c>
      <c r="N11" s="48">
        <f t="shared" si="3"/>
        <v>-1600</v>
      </c>
      <c r="O11" s="48">
        <f t="shared" si="4"/>
        <v>-74050</v>
      </c>
      <c r="P11" s="48">
        <f t="shared" si="5"/>
        <v>-68679.690097458646</v>
      </c>
      <c r="Q11" s="36">
        <f t="shared" si="6"/>
        <v>521252.1103925599</v>
      </c>
      <c r="R11" s="36"/>
    </row>
    <row r="12" spans="2:18">
      <c r="B12" s="140"/>
      <c r="C12" s="40" t="s">
        <v>67</v>
      </c>
      <c r="D12" s="25" t="s">
        <v>96</v>
      </c>
      <c r="E12" s="143"/>
      <c r="F12" s="31" t="s">
        <v>97</v>
      </c>
      <c r="G12" s="144"/>
      <c r="I12" s="25">
        <v>5</v>
      </c>
      <c r="J12" s="48"/>
      <c r="K12" s="48">
        <f t="shared" si="0"/>
        <v>94800</v>
      </c>
      <c r="L12" s="48">
        <f t="shared" si="1"/>
        <v>750</v>
      </c>
      <c r="M12" s="48">
        <f t="shared" si="2"/>
        <v>-168000</v>
      </c>
      <c r="N12" s="48">
        <f t="shared" si="3"/>
        <v>-1600</v>
      </c>
      <c r="O12" s="48">
        <f t="shared" si="4"/>
        <v>-74050</v>
      </c>
      <c r="P12" s="48">
        <f t="shared" si="5"/>
        <v>-67399.107063256786</v>
      </c>
      <c r="Q12" s="36">
        <f t="shared" si="6"/>
        <v>453853.00332930312</v>
      </c>
      <c r="R12" s="36"/>
    </row>
    <row r="13" spans="2:18">
      <c r="B13" s="140"/>
      <c r="C13" s="40" t="s">
        <v>98</v>
      </c>
      <c r="D13" s="25" t="s">
        <v>99</v>
      </c>
      <c r="E13" s="143"/>
      <c r="F13" s="31" t="s">
        <v>100</v>
      </c>
      <c r="G13" s="144"/>
      <c r="I13" s="25">
        <v>6</v>
      </c>
      <c r="J13" s="48"/>
      <c r="K13" s="48">
        <f t="shared" si="0"/>
        <v>94800</v>
      </c>
      <c r="L13" s="48">
        <f t="shared" si="1"/>
        <v>750</v>
      </c>
      <c r="M13" s="48">
        <f t="shared" si="2"/>
        <v>-168000</v>
      </c>
      <c r="N13" s="48">
        <f t="shared" si="3"/>
        <v>-1600</v>
      </c>
      <c r="O13" s="48">
        <f t="shared" si="4"/>
        <v>-74050</v>
      </c>
      <c r="P13" s="48">
        <f t="shared" si="5"/>
        <v>-66142.401435973283</v>
      </c>
      <c r="Q13" s="36">
        <f t="shared" si="6"/>
        <v>387710.60189332982</v>
      </c>
      <c r="R13" s="36"/>
    </row>
    <row r="14" spans="2:18">
      <c r="B14" s="140"/>
      <c r="C14" s="40" t="s">
        <v>101</v>
      </c>
      <c r="D14" s="25" t="s">
        <v>102</v>
      </c>
      <c r="E14" s="143"/>
      <c r="F14" s="31" t="s">
        <v>103</v>
      </c>
      <c r="G14" s="144"/>
      <c r="I14" s="25">
        <v>7</v>
      </c>
      <c r="J14" s="48"/>
      <c r="K14" s="48">
        <f t="shared" si="0"/>
        <v>94800</v>
      </c>
      <c r="L14" s="48">
        <f t="shared" si="1"/>
        <v>750</v>
      </c>
      <c r="M14" s="48">
        <f t="shared" si="2"/>
        <v>-168000</v>
      </c>
      <c r="N14" s="48">
        <f t="shared" si="3"/>
        <v>-1600</v>
      </c>
      <c r="O14" s="48">
        <f t="shared" si="4"/>
        <v>-74050</v>
      </c>
      <c r="P14" s="48">
        <f t="shared" si="5"/>
        <v>-64909.128003899204</v>
      </c>
      <c r="Q14" s="36">
        <f t="shared" si="6"/>
        <v>322801.47388943064</v>
      </c>
      <c r="R14" s="36"/>
    </row>
    <row r="15" spans="2:18">
      <c r="B15" s="140"/>
      <c r="C15" s="41" t="s">
        <v>71</v>
      </c>
      <c r="D15" s="26" t="s">
        <v>102</v>
      </c>
      <c r="E15" s="143"/>
      <c r="F15" s="31" t="s">
        <v>104</v>
      </c>
      <c r="G15" s="144"/>
      <c r="I15" s="25">
        <v>8</v>
      </c>
      <c r="J15" s="48"/>
      <c r="K15" s="48">
        <f t="shared" si="0"/>
        <v>94800</v>
      </c>
      <c r="L15" s="48">
        <f t="shared" si="1"/>
        <v>750</v>
      </c>
      <c r="M15" s="48">
        <f t="shared" si="2"/>
        <v>-168000</v>
      </c>
      <c r="N15" s="48">
        <f t="shared" si="3"/>
        <v>-1600</v>
      </c>
      <c r="O15" s="48">
        <f t="shared" si="4"/>
        <v>-74050</v>
      </c>
      <c r="P15" s="48">
        <f t="shared" si="5"/>
        <v>-63698.849856623361</v>
      </c>
      <c r="Q15" s="36">
        <f t="shared" si="6"/>
        <v>259102.62403280727</v>
      </c>
      <c r="R15" s="36"/>
    </row>
    <row r="16" spans="2:18">
      <c r="B16" s="140"/>
      <c r="C16" s="41" t="s">
        <v>105</v>
      </c>
      <c r="D16" s="26" t="s">
        <v>106</v>
      </c>
      <c r="E16" s="141"/>
      <c r="F16" s="31" t="s">
        <v>76</v>
      </c>
      <c r="G16" s="53">
        <f>G7</f>
        <v>94800</v>
      </c>
      <c r="I16" s="25">
        <v>9</v>
      </c>
      <c r="J16" s="48"/>
      <c r="K16" s="48">
        <f t="shared" si="0"/>
        <v>94800</v>
      </c>
      <c r="L16" s="48">
        <f t="shared" si="1"/>
        <v>750</v>
      </c>
      <c r="M16" s="48">
        <f t="shared" si="2"/>
        <v>-168000</v>
      </c>
      <c r="N16" s="48">
        <f t="shared" si="3"/>
        <v>-1600</v>
      </c>
      <c r="O16" s="48">
        <f t="shared" si="4"/>
        <v>-74050</v>
      </c>
      <c r="P16" s="48">
        <f t="shared" si="5"/>
        <v>-62511.138230248645</v>
      </c>
      <c r="Q16" s="36">
        <f t="shared" si="6"/>
        <v>196591.48580255863</v>
      </c>
      <c r="R16" s="36"/>
    </row>
    <row r="17" spans="2:18">
      <c r="B17" s="140"/>
      <c r="C17" s="40"/>
      <c r="D17" s="40"/>
      <c r="E17" s="134" t="s">
        <v>107</v>
      </c>
      <c r="F17" s="134"/>
      <c r="G17" s="54">
        <v>35000</v>
      </c>
      <c r="I17" s="25">
        <v>10</v>
      </c>
      <c r="J17" s="49">
        <f>+D10</f>
        <v>109470</v>
      </c>
      <c r="K17" s="48">
        <f t="shared" si="0"/>
        <v>94800</v>
      </c>
      <c r="L17" s="48">
        <f t="shared" si="1"/>
        <v>750</v>
      </c>
      <c r="M17" s="48">
        <f t="shared" si="2"/>
        <v>-168000</v>
      </c>
      <c r="N17" s="48">
        <f t="shared" si="3"/>
        <v>-1600</v>
      </c>
      <c r="O17" s="48">
        <f>J17+K17+L17+M17+N17</f>
        <v>35420</v>
      </c>
      <c r="P17" s="48">
        <f t="shared" si="5"/>
        <v>29343.148856605087</v>
      </c>
      <c r="Q17" s="36">
        <f t="shared" si="6"/>
        <v>225934.63465916371</v>
      </c>
      <c r="R17" s="36"/>
    </row>
    <row r="18" spans="2:18">
      <c r="B18" s="140"/>
      <c r="C18" s="40"/>
      <c r="D18" s="40"/>
      <c r="E18" s="134" t="s">
        <v>108</v>
      </c>
      <c r="F18" s="31" t="s">
        <v>113</v>
      </c>
      <c r="G18" s="54">
        <v>36000</v>
      </c>
      <c r="I18" s="25">
        <v>11</v>
      </c>
      <c r="J18" s="48"/>
      <c r="K18" s="48">
        <f t="shared" si="0"/>
        <v>94800</v>
      </c>
      <c r="L18" s="48">
        <f t="shared" si="1"/>
        <v>750</v>
      </c>
      <c r="M18" s="48">
        <f t="shared" si="2"/>
        <v>-168000</v>
      </c>
      <c r="N18" s="48">
        <f t="shared" si="3"/>
        <v>-1600</v>
      </c>
      <c r="O18" s="48">
        <f t="shared" si="4"/>
        <v>-74050</v>
      </c>
      <c r="P18" s="48">
        <f t="shared" si="5"/>
        <v>-60201.739308630284</v>
      </c>
      <c r="Q18" s="36">
        <f t="shared" si="6"/>
        <v>165732.89535053342</v>
      </c>
      <c r="R18" s="36"/>
    </row>
    <row r="19" spans="2:18">
      <c r="B19" s="140"/>
      <c r="C19" s="40"/>
      <c r="D19" s="40"/>
      <c r="E19" s="134"/>
      <c r="F19" s="31" t="s">
        <v>106</v>
      </c>
      <c r="G19" s="54">
        <v>47000</v>
      </c>
      <c r="I19" s="25">
        <v>12</v>
      </c>
      <c r="J19" s="48"/>
      <c r="K19" s="48">
        <f t="shared" si="0"/>
        <v>94800</v>
      </c>
      <c r="L19" s="48">
        <f t="shared" si="1"/>
        <v>750</v>
      </c>
      <c r="M19" s="48">
        <f t="shared" si="2"/>
        <v>-168000</v>
      </c>
      <c r="N19" s="48">
        <f t="shared" si="3"/>
        <v>-1600</v>
      </c>
      <c r="O19" s="48">
        <f t="shared" si="4"/>
        <v>-74050</v>
      </c>
      <c r="P19" s="48">
        <f t="shared" si="5"/>
        <v>-59079.233865191643</v>
      </c>
      <c r="Q19" s="36">
        <f t="shared" si="6"/>
        <v>106653.66148534179</v>
      </c>
      <c r="R19" s="36"/>
    </row>
    <row r="20" spans="2:18" ht="15" thickBot="1">
      <c r="B20" s="145"/>
      <c r="C20" s="56"/>
      <c r="D20" s="56"/>
      <c r="E20" s="135"/>
      <c r="F20" s="57" t="s">
        <v>109</v>
      </c>
      <c r="G20" s="58">
        <v>23000</v>
      </c>
      <c r="I20" s="25">
        <v>13</v>
      </c>
      <c r="J20" s="48"/>
      <c r="K20" s="48">
        <f t="shared" si="0"/>
        <v>94800</v>
      </c>
      <c r="L20" s="48">
        <f t="shared" si="1"/>
        <v>750</v>
      </c>
      <c r="M20" s="48">
        <f t="shared" si="2"/>
        <v>-168000</v>
      </c>
      <c r="N20" s="48">
        <f t="shared" si="3"/>
        <v>-1600</v>
      </c>
      <c r="O20" s="48">
        <f t="shared" si="4"/>
        <v>-74050</v>
      </c>
      <c r="P20" s="48">
        <f t="shared" si="5"/>
        <v>-57977.658356419684</v>
      </c>
      <c r="Q20" s="36">
        <f t="shared" si="6"/>
        <v>48676.003128922101</v>
      </c>
      <c r="R20" s="36"/>
    </row>
    <row r="21" spans="2:18">
      <c r="I21" s="25">
        <v>14</v>
      </c>
      <c r="J21" s="48"/>
      <c r="K21" s="48">
        <f t="shared" si="0"/>
        <v>94800</v>
      </c>
      <c r="L21" s="48">
        <f t="shared" si="1"/>
        <v>750</v>
      </c>
      <c r="M21" s="48">
        <f t="shared" si="2"/>
        <v>-168000</v>
      </c>
      <c r="N21" s="48">
        <f t="shared" si="3"/>
        <v>-1600</v>
      </c>
      <c r="O21" s="48">
        <f t="shared" si="4"/>
        <v>-74050</v>
      </c>
      <c r="P21" s="48">
        <f t="shared" si="5"/>
        <v>-56896.622528380445</v>
      </c>
      <c r="Q21" s="36">
        <f t="shared" si="6"/>
        <v>-8220.6193994583446</v>
      </c>
      <c r="R21" s="36"/>
    </row>
    <row r="22" spans="2:18">
      <c r="F22" s="42">
        <v>6000</v>
      </c>
      <c r="G22" s="42">
        <v>94800</v>
      </c>
      <c r="H22" s="27">
        <v>803900</v>
      </c>
      <c r="I22" s="26">
        <v>15</v>
      </c>
      <c r="J22" s="50"/>
      <c r="K22" s="50">
        <f t="shared" si="0"/>
        <v>94800</v>
      </c>
      <c r="L22" s="50">
        <f t="shared" si="1"/>
        <v>750</v>
      </c>
      <c r="M22" s="50">
        <f t="shared" si="2"/>
        <v>-168000</v>
      </c>
      <c r="N22" s="50">
        <f t="shared" si="3"/>
        <v>-1600</v>
      </c>
      <c r="O22" s="50">
        <f t="shared" si="4"/>
        <v>-74050</v>
      </c>
      <c r="P22" s="50">
        <f t="shared" si="5"/>
        <v>-55835.743403709959</v>
      </c>
      <c r="Q22" s="43">
        <f t="shared" si="6"/>
        <v>-64056.362803168304</v>
      </c>
      <c r="R22" s="43">
        <f>SUM(P8:P22)</f>
        <v>-867956.36280316825</v>
      </c>
    </row>
    <row r="23" spans="2:18">
      <c r="F23" s="42">
        <v>4500</v>
      </c>
      <c r="G23" s="42">
        <v>74040</v>
      </c>
      <c r="H23" s="27">
        <v>791400</v>
      </c>
      <c r="I23" s="25" t="s">
        <v>58</v>
      </c>
      <c r="J23" s="48">
        <f>SUM(J7:J22)</f>
        <v>913370</v>
      </c>
      <c r="K23" s="48"/>
      <c r="L23" s="48"/>
      <c r="M23" s="48"/>
      <c r="N23" s="48"/>
      <c r="O23" s="48">
        <f>SUM(O8:O22)</f>
        <v>-1001280</v>
      </c>
      <c r="P23" s="48">
        <f>+Q22</f>
        <v>-64056.362803168304</v>
      </c>
      <c r="R23" s="36"/>
    </row>
    <row r="24" spans="2:18">
      <c r="C24" s="52"/>
      <c r="D24" s="52"/>
      <c r="F24" s="42">
        <v>3000</v>
      </c>
      <c r="G24" s="42">
        <v>63180</v>
      </c>
      <c r="H24" s="27">
        <v>599200</v>
      </c>
      <c r="R24" s="36"/>
    </row>
    <row r="25" spans="2:18" ht="20.25">
      <c r="F25" s="42"/>
      <c r="G25" s="42"/>
      <c r="I25" s="27" t="s">
        <v>110</v>
      </c>
      <c r="P25" s="44">
        <f>+P23/P4</f>
        <v>-4947.9976945243261</v>
      </c>
    </row>
    <row r="26" spans="2:18" ht="21" thickBot="1">
      <c r="F26" s="42"/>
      <c r="G26" s="42"/>
      <c r="I26" s="63" t="s">
        <v>111</v>
      </c>
      <c r="J26" s="63"/>
      <c r="K26" s="63" t="s">
        <v>114</v>
      </c>
      <c r="L26" s="63"/>
      <c r="M26" s="64">
        <f>P26/L1</f>
        <v>0.10116666666666667</v>
      </c>
      <c r="N26" s="63"/>
      <c r="O26" s="63"/>
      <c r="P26" s="65">
        <v>607</v>
      </c>
      <c r="R26" s="36"/>
    </row>
    <row r="27" spans="2:18" ht="21" thickBot="1">
      <c r="F27" s="42"/>
      <c r="G27" s="42"/>
      <c r="I27" s="118" t="s">
        <v>112</v>
      </c>
      <c r="J27" s="119"/>
      <c r="K27" s="119" t="s">
        <v>114</v>
      </c>
      <c r="L27" s="119"/>
      <c r="M27" s="120">
        <f>P27/L2</f>
        <v>0.51437500000000003</v>
      </c>
      <c r="N27" s="119"/>
      <c r="O27" s="119"/>
      <c r="P27" s="121">
        <v>823</v>
      </c>
      <c r="R27" s="36"/>
    </row>
    <row r="28" spans="2:18" ht="20.25">
      <c r="F28" s="42"/>
      <c r="G28" s="42"/>
      <c r="P28" s="44">
        <f>+P25/(P27-P26)</f>
        <v>-22.907396733908918</v>
      </c>
      <c r="R28" s="36"/>
    </row>
    <row r="29" spans="2:18">
      <c r="F29" s="42"/>
      <c r="G29" s="42"/>
      <c r="K29" s="27">
        <v>294</v>
      </c>
      <c r="M29" s="27">
        <f>+K29*0.31</f>
        <v>91.14</v>
      </c>
      <c r="R29" s="36"/>
    </row>
    <row r="30" spans="2:18">
      <c r="F30" s="42"/>
      <c r="G30" s="42"/>
      <c r="K30" s="27">
        <v>1508</v>
      </c>
      <c r="M30" s="27">
        <f>+K30*0.31</f>
        <v>467.48</v>
      </c>
      <c r="R30" s="36"/>
    </row>
    <row r="31" spans="2:18">
      <c r="F31" s="42"/>
      <c r="G31" s="42"/>
      <c r="R31" s="36"/>
    </row>
    <row r="32" spans="2:18">
      <c r="F32" s="42"/>
      <c r="G32" s="42"/>
      <c r="R32" s="36"/>
    </row>
    <row r="33" spans="3:7">
      <c r="F33" s="42"/>
      <c r="G33" s="42"/>
    </row>
    <row r="34" spans="3:7">
      <c r="C34" s="27">
        <v>56300</v>
      </c>
      <c r="D34" s="27">
        <v>10400</v>
      </c>
      <c r="E34" s="27">
        <f>+D34/C34</f>
        <v>0.1847246891651865</v>
      </c>
    </row>
    <row r="35" spans="3:7">
      <c r="C35" s="27">
        <v>93800</v>
      </c>
      <c r="D35" s="27">
        <v>12000</v>
      </c>
      <c r="E35" s="27">
        <f>+D35/C35</f>
        <v>0.1279317697228145</v>
      </c>
    </row>
  </sheetData>
  <mergeCells count="12">
    <mergeCell ref="E17:F17"/>
    <mergeCell ref="E18:E20"/>
    <mergeCell ref="B1:G1"/>
    <mergeCell ref="B2:C2"/>
    <mergeCell ref="E2:F2"/>
    <mergeCell ref="B3:B5"/>
    <mergeCell ref="E3:E6"/>
    <mergeCell ref="B6:B9"/>
    <mergeCell ref="E7:E16"/>
    <mergeCell ref="G7:G15"/>
    <mergeCell ref="B11:B20"/>
    <mergeCell ref="C11:D11"/>
  </mergeCells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4"/>
  <sheetViews>
    <sheetView workbookViewId="0">
      <selection activeCell="H7" sqref="H7"/>
    </sheetView>
  </sheetViews>
  <sheetFormatPr defaultRowHeight="13.5"/>
  <cols>
    <col min="1" max="1" width="9" style="66"/>
    <col min="2" max="2" width="24.75" style="66" customWidth="1"/>
    <col min="3" max="3" width="19.125" style="66" customWidth="1"/>
    <col min="4" max="4" width="14.625" style="71" customWidth="1"/>
    <col min="5" max="8" width="21.25" style="66" customWidth="1"/>
    <col min="9" max="16384" width="9" style="66"/>
  </cols>
  <sheetData>
    <row r="2" spans="2:8" ht="14.25" thickBot="1"/>
    <row r="3" spans="2:8" ht="24.75" customHeight="1">
      <c r="B3" s="154" t="s">
        <v>115</v>
      </c>
      <c r="C3" s="150"/>
      <c r="D3" s="150"/>
      <c r="E3" s="150" t="s">
        <v>116</v>
      </c>
      <c r="F3" s="150" t="s">
        <v>117</v>
      </c>
      <c r="G3" s="84" t="s">
        <v>118</v>
      </c>
      <c r="H3" s="85"/>
    </row>
    <row r="4" spans="2:8" ht="27">
      <c r="B4" s="155"/>
      <c r="C4" s="151"/>
      <c r="D4" s="151"/>
      <c r="E4" s="151"/>
      <c r="F4" s="151"/>
      <c r="G4" s="72" t="s">
        <v>119</v>
      </c>
      <c r="H4" s="86" t="s">
        <v>120</v>
      </c>
    </row>
    <row r="5" spans="2:8" ht="19.5" customHeight="1">
      <c r="B5" s="152" t="s">
        <v>121</v>
      </c>
      <c r="C5" s="67" t="s">
        <v>124</v>
      </c>
      <c r="D5" s="72"/>
      <c r="E5" s="67">
        <v>1350000000</v>
      </c>
      <c r="F5" s="67">
        <v>2060000000</v>
      </c>
      <c r="G5" s="68"/>
      <c r="H5" s="87">
        <v>803900000</v>
      </c>
    </row>
    <row r="6" spans="2:8" ht="19.5" customHeight="1">
      <c r="B6" s="152"/>
      <c r="C6" s="67" t="s">
        <v>123</v>
      </c>
      <c r="D6" s="72"/>
      <c r="E6" s="67">
        <v>50</v>
      </c>
      <c r="F6" s="67">
        <v>20</v>
      </c>
      <c r="G6" s="68"/>
      <c r="H6" s="87">
        <v>28</v>
      </c>
    </row>
    <row r="7" spans="2:8" ht="27">
      <c r="B7" s="152"/>
      <c r="C7" s="67" t="s">
        <v>122</v>
      </c>
      <c r="D7" s="72"/>
      <c r="E7" s="67">
        <f>+E5/E6</f>
        <v>27000000</v>
      </c>
      <c r="F7" s="67">
        <f>+F5/F6</f>
        <v>103000000</v>
      </c>
      <c r="G7" s="68"/>
      <c r="H7" s="88">
        <f>+H5/H6</f>
        <v>28710714.285714287</v>
      </c>
    </row>
    <row r="8" spans="2:8" ht="27">
      <c r="B8" s="146" t="s">
        <v>127</v>
      </c>
      <c r="C8" s="67" t="s">
        <v>125</v>
      </c>
      <c r="D8" s="72"/>
      <c r="E8" s="67">
        <v>102000000</v>
      </c>
      <c r="F8" s="67">
        <v>149000000</v>
      </c>
      <c r="G8" s="68"/>
      <c r="H8" s="87">
        <v>95000000</v>
      </c>
    </row>
    <row r="9" spans="2:8" ht="40.5">
      <c r="B9" s="148"/>
      <c r="C9" s="67" t="s">
        <v>126</v>
      </c>
      <c r="D9" s="72"/>
      <c r="E9" s="67">
        <f>+E8/6000</f>
        <v>17000</v>
      </c>
      <c r="F9" s="69">
        <f>+F8/6000</f>
        <v>24833.333333333332</v>
      </c>
      <c r="G9" s="68"/>
      <c r="H9" s="88">
        <f>+H8/6000</f>
        <v>15833.333333333334</v>
      </c>
    </row>
    <row r="10" spans="2:8">
      <c r="B10" s="146" t="s">
        <v>145</v>
      </c>
      <c r="C10" s="72" t="s">
        <v>129</v>
      </c>
      <c r="D10" s="72"/>
      <c r="E10" s="72" t="s">
        <v>130</v>
      </c>
      <c r="F10" s="72" t="s">
        <v>131</v>
      </c>
      <c r="G10" s="72" t="s">
        <v>132</v>
      </c>
      <c r="H10" s="86" t="s">
        <v>132</v>
      </c>
    </row>
    <row r="11" spans="2:8">
      <c r="B11" s="147"/>
      <c r="C11" s="67" t="s">
        <v>133</v>
      </c>
      <c r="D11" s="72" t="s">
        <v>133</v>
      </c>
      <c r="E11" s="67">
        <v>482</v>
      </c>
      <c r="F11" s="67">
        <v>254</v>
      </c>
      <c r="G11" s="67">
        <v>29.6</v>
      </c>
      <c r="H11" s="87">
        <v>29.6</v>
      </c>
    </row>
    <row r="12" spans="2:8" ht="27">
      <c r="B12" s="147"/>
      <c r="C12" s="67">
        <v>39.1</v>
      </c>
      <c r="D12" s="79" t="s">
        <v>134</v>
      </c>
      <c r="E12" s="70">
        <f>+E11*$C$12</f>
        <v>18846.2</v>
      </c>
      <c r="F12" s="70">
        <f>+F11*$C$12</f>
        <v>9931.4</v>
      </c>
      <c r="G12" s="70"/>
      <c r="H12" s="89"/>
    </row>
    <row r="13" spans="2:8" ht="27">
      <c r="B13" s="147"/>
      <c r="C13" s="67">
        <v>38.200000000000003</v>
      </c>
      <c r="D13" s="79" t="s">
        <v>135</v>
      </c>
      <c r="E13" s="67"/>
      <c r="F13" s="67"/>
      <c r="G13" s="70">
        <f>+G11*$C$13</f>
        <v>1130.72</v>
      </c>
      <c r="H13" s="89">
        <f>+H11*$C$13</f>
        <v>1130.72</v>
      </c>
    </row>
    <row r="14" spans="2:8">
      <c r="B14" s="147"/>
      <c r="C14" s="67" t="s">
        <v>136</v>
      </c>
      <c r="D14" s="72"/>
      <c r="E14" s="67"/>
      <c r="F14" s="67"/>
      <c r="G14" s="67"/>
      <c r="H14" s="87"/>
    </row>
    <row r="15" spans="2:8">
      <c r="B15" s="147"/>
      <c r="C15" s="67"/>
      <c r="D15" s="72" t="s">
        <v>137</v>
      </c>
      <c r="E15" s="67">
        <v>359</v>
      </c>
      <c r="F15" s="67">
        <v>1140</v>
      </c>
      <c r="G15" s="67">
        <v>1140</v>
      </c>
      <c r="H15" s="87">
        <v>1440</v>
      </c>
    </row>
    <row r="16" spans="2:8">
      <c r="B16" s="147"/>
      <c r="C16" s="73">
        <v>9.76</v>
      </c>
      <c r="D16" s="72" t="s">
        <v>138</v>
      </c>
      <c r="E16" s="74">
        <f>+E15*$C$16</f>
        <v>3503.84</v>
      </c>
      <c r="F16" s="74">
        <f>+F15*$C$16</f>
        <v>11126.4</v>
      </c>
      <c r="G16" s="74">
        <f>+G15*$C$16</f>
        <v>11126.4</v>
      </c>
      <c r="H16" s="90">
        <f>+H15*$C$16</f>
        <v>14054.4</v>
      </c>
    </row>
    <row r="17" spans="1:8">
      <c r="B17" s="148"/>
      <c r="C17" s="67" t="s">
        <v>139</v>
      </c>
      <c r="D17" s="72" t="s">
        <v>138</v>
      </c>
      <c r="E17" s="75">
        <f>+E12+E13+E16</f>
        <v>22350.04</v>
      </c>
      <c r="F17" s="75">
        <f>+F12+F13+F16</f>
        <v>21057.8</v>
      </c>
      <c r="G17" s="75">
        <f>+G12+G13+G16</f>
        <v>12257.119999999999</v>
      </c>
      <c r="H17" s="91">
        <f>+H12+H13+H16</f>
        <v>15185.119999999999</v>
      </c>
    </row>
    <row r="18" spans="1:8">
      <c r="B18" s="146" t="s">
        <v>140</v>
      </c>
      <c r="C18" s="67" t="s">
        <v>141</v>
      </c>
      <c r="D18" s="72"/>
      <c r="E18" s="67">
        <v>1060</v>
      </c>
      <c r="F18" s="67">
        <v>500</v>
      </c>
      <c r="G18" s="67">
        <v>1600</v>
      </c>
      <c r="H18" s="87">
        <v>1760</v>
      </c>
    </row>
    <row r="19" spans="1:8">
      <c r="B19" s="147"/>
      <c r="C19" s="67" t="s">
        <v>142</v>
      </c>
      <c r="D19" s="72"/>
      <c r="E19" s="67">
        <v>15620</v>
      </c>
      <c r="F19" s="67">
        <v>7910</v>
      </c>
      <c r="G19" s="67">
        <v>14530</v>
      </c>
      <c r="H19" s="87">
        <v>18760</v>
      </c>
    </row>
    <row r="20" spans="1:8">
      <c r="B20" s="147"/>
      <c r="C20" s="67"/>
      <c r="D20" s="72"/>
      <c r="E20" s="76">
        <f>+E19/E18</f>
        <v>14.735849056603774</v>
      </c>
      <c r="F20" s="76">
        <f>+F19/F18</f>
        <v>15.82</v>
      </c>
      <c r="G20" s="76">
        <f>+G19/G18</f>
        <v>9.0812500000000007</v>
      </c>
      <c r="H20" s="92">
        <f>+H19/H18</f>
        <v>10.659090909090908</v>
      </c>
    </row>
    <row r="21" spans="1:8">
      <c r="B21" s="148"/>
      <c r="C21" s="67" t="s">
        <v>143</v>
      </c>
      <c r="D21" s="72" t="s">
        <v>144</v>
      </c>
      <c r="E21" s="77">
        <f>+E19/E17</f>
        <v>0.69888018097506754</v>
      </c>
      <c r="F21" s="77">
        <f>+F19/F17</f>
        <v>0.3756327821519817</v>
      </c>
      <c r="G21" s="77">
        <f>+G19/G17</f>
        <v>1.1854334460297362</v>
      </c>
      <c r="H21" s="93">
        <f>+H19/H17</f>
        <v>1.2354199374124144</v>
      </c>
    </row>
    <row r="22" spans="1:8" ht="19.5" customHeight="1">
      <c r="B22" s="152" t="s">
        <v>147</v>
      </c>
      <c r="C22" s="72" t="s">
        <v>129</v>
      </c>
      <c r="D22" s="72"/>
      <c r="E22" s="72" t="s">
        <v>130</v>
      </c>
      <c r="F22" s="72" t="s">
        <v>131</v>
      </c>
      <c r="G22" s="72" t="s">
        <v>132</v>
      </c>
      <c r="H22" s="86" t="s">
        <v>132</v>
      </c>
    </row>
    <row r="23" spans="1:8" ht="19.5" customHeight="1">
      <c r="B23" s="152"/>
      <c r="C23" s="67" t="s">
        <v>133</v>
      </c>
      <c r="D23" s="72" t="s">
        <v>133</v>
      </c>
      <c r="E23" s="67">
        <v>482</v>
      </c>
      <c r="F23" s="67">
        <v>254</v>
      </c>
      <c r="G23" s="67">
        <v>29.6</v>
      </c>
      <c r="H23" s="87">
        <v>29.6</v>
      </c>
    </row>
    <row r="24" spans="1:8" ht="19.5" customHeight="1">
      <c r="A24" s="66">
        <v>5.46</v>
      </c>
      <c r="B24" s="152"/>
      <c r="C24" s="73">
        <f>A24/10000</f>
        <v>5.4600000000000004E-4</v>
      </c>
      <c r="D24" s="79"/>
      <c r="E24" s="78">
        <f>+$C$24*E12*1000/$C$16</f>
        <v>1054.3058606557377</v>
      </c>
      <c r="F24" s="78">
        <f>+$C$24*F12*1000/$C$16</f>
        <v>555.58856557377055</v>
      </c>
      <c r="G24" s="78">
        <f>+$C$24*G13*1000/$C$16</f>
        <v>63.255442622950831</v>
      </c>
      <c r="H24" s="94">
        <f>+$C$24*H13*1000/$C$16</f>
        <v>63.255442622950831</v>
      </c>
    </row>
    <row r="25" spans="1:8" ht="19.5" customHeight="1">
      <c r="B25" s="152"/>
      <c r="C25" s="153" t="s">
        <v>136</v>
      </c>
      <c r="D25" s="72" t="s">
        <v>137</v>
      </c>
      <c r="E25" s="67">
        <v>359</v>
      </c>
      <c r="F25" s="67">
        <v>1140</v>
      </c>
      <c r="G25" s="67">
        <v>1140</v>
      </c>
      <c r="H25" s="87">
        <v>1440</v>
      </c>
    </row>
    <row r="26" spans="1:8" ht="19.5" customHeight="1">
      <c r="B26" s="152"/>
      <c r="C26" s="153"/>
      <c r="D26" s="72" t="s">
        <v>146</v>
      </c>
      <c r="E26" s="78">
        <f>+E25*$C$24*1000</f>
        <v>196.01400000000001</v>
      </c>
      <c r="F26" s="78">
        <f>+F25*$C$24*1000</f>
        <v>622.44000000000005</v>
      </c>
      <c r="G26" s="78">
        <f>+G25*$C$24*1000</f>
        <v>622.44000000000005</v>
      </c>
      <c r="H26" s="94">
        <f>+H25*$C$24*1000</f>
        <v>786.24</v>
      </c>
    </row>
    <row r="27" spans="1:8" ht="19.5" customHeight="1">
      <c r="B27" s="152"/>
      <c r="C27" s="153"/>
      <c r="D27" s="72" t="s">
        <v>148</v>
      </c>
      <c r="E27" s="69">
        <f>+E24+E26</f>
        <v>1250.3198606557376</v>
      </c>
      <c r="F27" s="69">
        <f>+F24+F26</f>
        <v>1178.0285655737707</v>
      </c>
      <c r="G27" s="69">
        <f>+G24+G26</f>
        <v>685.69544262295085</v>
      </c>
      <c r="H27" s="88">
        <f>+H24+H26</f>
        <v>849.4954426229508</v>
      </c>
    </row>
    <row r="28" spans="1:8">
      <c r="B28" s="146" t="s">
        <v>149</v>
      </c>
      <c r="C28" s="72" t="s">
        <v>150</v>
      </c>
      <c r="D28" s="72"/>
      <c r="E28" s="72" t="s">
        <v>130</v>
      </c>
      <c r="F28" s="72" t="s">
        <v>131</v>
      </c>
      <c r="G28" s="72" t="s">
        <v>132</v>
      </c>
      <c r="H28" s="86" t="s">
        <v>132</v>
      </c>
    </row>
    <row r="29" spans="1:8">
      <c r="B29" s="147"/>
      <c r="C29" s="117">
        <f>0.0245*44/12</f>
        <v>8.9833333333333334E-2</v>
      </c>
      <c r="D29" s="72" t="s">
        <v>146</v>
      </c>
      <c r="E29" s="78">
        <f>+$C$29*E19</f>
        <v>1403.1966666666667</v>
      </c>
      <c r="F29" s="78">
        <f>+$C$29*F19</f>
        <v>710.58166666666671</v>
      </c>
      <c r="G29" s="78">
        <f>+$C$29*G19</f>
        <v>1305.2783333333334</v>
      </c>
      <c r="H29" s="94">
        <f>+$C$29*H19</f>
        <v>1685.2733333333333</v>
      </c>
    </row>
    <row r="30" spans="1:8" ht="27">
      <c r="B30" s="147"/>
      <c r="C30" s="72" t="s">
        <v>151</v>
      </c>
      <c r="D30" s="80"/>
      <c r="E30" s="82">
        <f>+E27</f>
        <v>1250.3198606557376</v>
      </c>
      <c r="F30" s="82">
        <f>+F27</f>
        <v>1178.0285655737707</v>
      </c>
      <c r="G30" s="82">
        <f>+G27</f>
        <v>685.69544262295085</v>
      </c>
      <c r="H30" s="95">
        <f>+H27</f>
        <v>849.4954426229508</v>
      </c>
    </row>
    <row r="31" spans="1:8" ht="30.75" customHeight="1">
      <c r="B31" s="148"/>
      <c r="C31" s="81" t="s">
        <v>152</v>
      </c>
      <c r="D31" s="72" t="s">
        <v>146</v>
      </c>
      <c r="E31" s="83">
        <f>+E29-E30</f>
        <v>152.87680601092916</v>
      </c>
      <c r="F31" s="83">
        <f>+F29-F30</f>
        <v>-467.44689890710401</v>
      </c>
      <c r="G31" s="83">
        <f>+G29-G30</f>
        <v>619.58289071038257</v>
      </c>
      <c r="H31" s="96">
        <f>+H29-H30</f>
        <v>835.77789071038251</v>
      </c>
    </row>
    <row r="32" spans="1:8" ht="18" customHeight="1">
      <c r="B32" s="146" t="s">
        <v>153</v>
      </c>
      <c r="C32" s="81" t="s">
        <v>154</v>
      </c>
      <c r="D32" s="82"/>
      <c r="E32" s="82">
        <f>+E8</f>
        <v>102000000</v>
      </c>
      <c r="F32" s="82">
        <f>+F8</f>
        <v>149000000</v>
      </c>
      <c r="G32" s="82">
        <f>+G8</f>
        <v>0</v>
      </c>
      <c r="H32" s="95">
        <f>+H8</f>
        <v>95000000</v>
      </c>
    </row>
    <row r="33" spans="2:8" ht="18" customHeight="1">
      <c r="B33" s="147"/>
      <c r="C33" s="81" t="s">
        <v>155</v>
      </c>
      <c r="D33" s="80" t="s">
        <v>157</v>
      </c>
      <c r="E33" s="82">
        <f>+E32/E31</f>
        <v>667203.89221572317</v>
      </c>
      <c r="F33" s="82">
        <f>+F32/F31</f>
        <v>-318752.78314684221</v>
      </c>
      <c r="G33" s="82"/>
      <c r="H33" s="95">
        <f>+H32/H31</f>
        <v>113666.56267881561</v>
      </c>
    </row>
    <row r="34" spans="2:8" ht="18" customHeight="1" thickBot="1">
      <c r="B34" s="149"/>
      <c r="C34" s="97"/>
      <c r="D34" s="98" t="s">
        <v>156</v>
      </c>
      <c r="E34" s="99">
        <f>1/E33*1000000</f>
        <v>1.4987922157934233</v>
      </c>
      <c r="F34" s="99">
        <f>1/F33*1000000</f>
        <v>-3.137227509443651</v>
      </c>
      <c r="G34" s="99"/>
      <c r="H34" s="100">
        <f>1/H33*1000000</f>
        <v>8.7976620074777117</v>
      </c>
    </row>
  </sheetData>
  <mergeCells count="11">
    <mergeCell ref="B28:B31"/>
    <mergeCell ref="B32:B34"/>
    <mergeCell ref="E3:E4"/>
    <mergeCell ref="F3:F4"/>
    <mergeCell ref="B18:B21"/>
    <mergeCell ref="B22:B27"/>
    <mergeCell ref="C25:C27"/>
    <mergeCell ref="B5:B7"/>
    <mergeCell ref="B8:B9"/>
    <mergeCell ref="B10:B17"/>
    <mergeCell ref="B3:D4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7"/>
  <sheetViews>
    <sheetView topLeftCell="A28" workbookViewId="0">
      <selection activeCell="C15" sqref="A15:C29"/>
    </sheetView>
  </sheetViews>
  <sheetFormatPr defaultRowHeight="13.5"/>
  <cols>
    <col min="1" max="1" width="42.625" customWidth="1"/>
  </cols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128</v>
      </c>
    </row>
    <row r="26" spans="1:1">
      <c r="A26" t="s">
        <v>182</v>
      </c>
    </row>
    <row r="27" spans="1:1">
      <c r="A27" t="s">
        <v>183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workbookViewId="0">
      <selection activeCell="L8" sqref="L8"/>
    </sheetView>
  </sheetViews>
  <sheetFormatPr defaultRowHeight="15" customHeight="1"/>
  <cols>
    <col min="1" max="1" width="41.875" customWidth="1"/>
    <col min="2" max="2" width="26.5" style="109" hidden="1" customWidth="1"/>
    <col min="3" max="3" width="0" hidden="1" customWidth="1"/>
    <col min="4" max="4" width="9" hidden="1" customWidth="1"/>
    <col min="5" max="5" width="25" hidden="1" customWidth="1"/>
    <col min="6" max="6" width="20.125" customWidth="1"/>
    <col min="7" max="9" width="19.5" style="168" customWidth="1"/>
    <col min="14" max="14" width="14.375" customWidth="1"/>
    <col min="15" max="15" width="13" customWidth="1"/>
  </cols>
  <sheetData>
    <row r="1" spans="1:15" ht="15" customHeight="1" thickBot="1">
      <c r="F1" s="174" t="s">
        <v>262</v>
      </c>
      <c r="G1" s="175" t="s">
        <v>228</v>
      </c>
      <c r="H1" s="175" t="s">
        <v>234</v>
      </c>
      <c r="I1" s="175" t="s">
        <v>237</v>
      </c>
      <c r="J1" s="4"/>
      <c r="L1" s="158" t="s">
        <v>184</v>
      </c>
      <c r="M1" s="111" t="s">
        <v>225</v>
      </c>
      <c r="N1" s="160" t="s">
        <v>184</v>
      </c>
      <c r="O1" s="112" t="s">
        <v>185</v>
      </c>
    </row>
    <row r="2" spans="1:15" ht="15" customHeight="1" thickBot="1">
      <c r="A2" s="156" t="s">
        <v>184</v>
      </c>
      <c r="B2" s="106" t="s">
        <v>185</v>
      </c>
      <c r="D2" s="158" t="s">
        <v>184</v>
      </c>
      <c r="E2" s="110" t="s">
        <v>225</v>
      </c>
      <c r="F2" s="176" t="s">
        <v>227</v>
      </c>
      <c r="G2" s="177" t="s">
        <v>227</v>
      </c>
      <c r="H2" s="177" t="s">
        <v>227</v>
      </c>
      <c r="I2" s="177" t="s">
        <v>227</v>
      </c>
      <c r="J2" s="4"/>
      <c r="L2" s="159"/>
      <c r="M2" s="102" t="s">
        <v>229</v>
      </c>
      <c r="N2" s="161"/>
      <c r="O2" s="113" t="s">
        <v>186</v>
      </c>
    </row>
    <row r="3" spans="1:15" ht="15" customHeight="1" thickBot="1">
      <c r="A3" s="157"/>
      <c r="B3" s="107" t="s">
        <v>186</v>
      </c>
      <c r="D3" s="159"/>
      <c r="E3" s="101" t="s">
        <v>226</v>
      </c>
      <c r="F3" s="178" t="s">
        <v>261</v>
      </c>
      <c r="G3" s="179" t="s">
        <v>226</v>
      </c>
      <c r="H3" s="179" t="s">
        <v>229</v>
      </c>
      <c r="I3" s="179" t="s">
        <v>238</v>
      </c>
      <c r="J3" s="4"/>
      <c r="L3" s="104"/>
      <c r="M3" s="102"/>
      <c r="N3" s="113"/>
      <c r="O3" s="113"/>
    </row>
    <row r="4" spans="1:15" ht="15" customHeight="1" thickBot="1">
      <c r="A4" s="104" t="s">
        <v>187</v>
      </c>
      <c r="B4" s="108">
        <v>4.8499999999999997E-4</v>
      </c>
      <c r="D4" s="104" t="s">
        <v>187</v>
      </c>
      <c r="E4" s="103">
        <v>4.8500000000000003E-4</v>
      </c>
      <c r="F4" s="172"/>
      <c r="G4" s="169">
        <v>4.8500000000000003E-4</v>
      </c>
      <c r="H4" s="169">
        <v>3.4400000000000001E-4</v>
      </c>
      <c r="I4" s="168">
        <f>+O4/1000</f>
        <v>4.3300000000000001E-4</v>
      </c>
      <c r="L4" s="104" t="s">
        <v>187</v>
      </c>
      <c r="M4" s="103">
        <v>3.5300000000000002E-4</v>
      </c>
      <c r="N4" s="114" t="s">
        <v>187</v>
      </c>
      <c r="O4" s="103">
        <v>0.433</v>
      </c>
    </row>
    <row r="5" spans="1:15" ht="15" customHeight="1" thickBot="1">
      <c r="A5" s="104" t="s">
        <v>188</v>
      </c>
      <c r="B5" s="108">
        <v>5.4700000000000007E-4</v>
      </c>
      <c r="D5" s="104" t="s">
        <v>188</v>
      </c>
      <c r="E5" s="103">
        <v>5.4699999999999996E-4</v>
      </c>
      <c r="F5" s="172"/>
      <c r="G5" s="169">
        <v>5.4600000000000004E-4</v>
      </c>
      <c r="H5" s="169">
        <v>3.2600000000000001E-4</v>
      </c>
      <c r="I5" s="168">
        <f t="shared" ref="I5:I18" si="0">+O5/1000</f>
        <v>4.6800000000000005E-4</v>
      </c>
      <c r="L5" s="104" t="s">
        <v>188</v>
      </c>
      <c r="M5" s="103">
        <v>4.2900000000000002E-4</v>
      </c>
      <c r="N5" s="114" t="s">
        <v>188</v>
      </c>
      <c r="O5" s="103">
        <v>0.46800000000000003</v>
      </c>
    </row>
    <row r="6" spans="1:15" ht="15" customHeight="1" thickBot="1">
      <c r="A6" s="104" t="s">
        <v>189</v>
      </c>
      <c r="B6" s="108">
        <v>4.64E-4</v>
      </c>
      <c r="D6" s="104" t="s">
        <v>189</v>
      </c>
      <c r="E6" s="103">
        <v>4.64E-4</v>
      </c>
      <c r="F6" s="172"/>
      <c r="G6" s="169">
        <v>4.6299999999999998E-4</v>
      </c>
      <c r="H6" s="169">
        <v>3.7399999999999998E-4</v>
      </c>
      <c r="I6" s="168">
        <f t="shared" si="0"/>
        <v>3.8400000000000001E-4</v>
      </c>
      <c r="L6" s="104" t="s">
        <v>189</v>
      </c>
      <c r="M6" s="103">
        <v>3.7500000000000001E-4</v>
      </c>
      <c r="N6" s="114" t="s">
        <v>189</v>
      </c>
      <c r="O6" s="103">
        <v>0.38400000000000001</v>
      </c>
    </row>
    <row r="7" spans="1:15" ht="15" customHeight="1" thickBot="1">
      <c r="A7" s="104" t="s">
        <v>190</v>
      </c>
      <c r="B7" s="108">
        <v>5.1800000000000001E-4</v>
      </c>
      <c r="D7" s="104" t="s">
        <v>190</v>
      </c>
      <c r="E7" s="103">
        <v>5.1800000000000001E-4</v>
      </c>
      <c r="F7" s="172"/>
      <c r="G7" s="169">
        <v>4.6900000000000002E-4</v>
      </c>
      <c r="H7" s="169">
        <v>3.4099999999999999E-4</v>
      </c>
      <c r="I7" s="168">
        <f t="shared" si="0"/>
        <v>4.7399999999999997E-4</v>
      </c>
      <c r="L7" s="104" t="s">
        <v>190</v>
      </c>
      <c r="M7" s="103">
        <v>4.73E-4</v>
      </c>
      <c r="N7" s="114" t="s">
        <v>190</v>
      </c>
      <c r="O7" s="103">
        <v>0.47399999999999998</v>
      </c>
    </row>
    <row r="8" spans="1:15" ht="15" customHeight="1" thickBot="1">
      <c r="A8" s="163" t="s">
        <v>191</v>
      </c>
      <c r="B8" s="164">
        <v>6.4099999999999997E-4</v>
      </c>
      <c r="C8" s="165"/>
      <c r="D8" s="166" t="s">
        <v>191</v>
      </c>
      <c r="E8" s="167">
        <v>6.4099999999999997E-4</v>
      </c>
      <c r="F8" s="173"/>
      <c r="G8" s="170">
        <v>5.4600000000000004E-4</v>
      </c>
      <c r="H8" s="170">
        <v>2.24E-4</v>
      </c>
      <c r="I8" s="171">
        <f t="shared" si="0"/>
        <v>3.7399999999999998E-4</v>
      </c>
      <c r="L8" s="104" t="s">
        <v>191</v>
      </c>
      <c r="M8" s="103">
        <v>4.2299999999999998E-4</v>
      </c>
      <c r="N8" s="114" t="s">
        <v>191</v>
      </c>
      <c r="O8" s="103">
        <v>0.374</v>
      </c>
    </row>
    <row r="9" spans="1:15" ht="15" customHeight="1" thickBot="1">
      <c r="A9" s="104" t="s">
        <v>192</v>
      </c>
      <c r="B9" s="108">
        <v>4.4999999999999999E-4</v>
      </c>
      <c r="D9" s="104" t="s">
        <v>192</v>
      </c>
      <c r="E9" s="103">
        <v>4.4999999999999999E-4</v>
      </c>
      <c r="F9" s="172"/>
      <c r="G9" s="169">
        <v>4.1399999999999998E-4</v>
      </c>
      <c r="H9" s="169">
        <v>2.81E-4</v>
      </c>
      <c r="I9" s="168">
        <f t="shared" si="0"/>
        <v>2.9399999999999999E-4</v>
      </c>
      <c r="L9" s="104" t="s">
        <v>192</v>
      </c>
      <c r="M9" s="103">
        <v>3.1100000000000002E-4</v>
      </c>
      <c r="N9" s="114" t="s">
        <v>192</v>
      </c>
      <c r="O9" s="103">
        <v>0.29399999999999998</v>
      </c>
    </row>
    <row r="10" spans="1:15" ht="15" customHeight="1" thickBot="1">
      <c r="A10" s="104" t="s">
        <v>193</v>
      </c>
      <c r="B10" s="108">
        <v>6.5700000000000003E-4</v>
      </c>
      <c r="D10" s="104" t="s">
        <v>193</v>
      </c>
      <c r="E10" s="103">
        <v>6.5700000000000003E-4</v>
      </c>
      <c r="F10" s="172"/>
      <c r="G10" s="169">
        <v>5.0199999999999995E-4</v>
      </c>
      <c r="H10" s="169">
        <v>4.9100000000000001E-4</v>
      </c>
      <c r="I10" s="168">
        <f t="shared" si="0"/>
        <v>6.2799999999999998E-4</v>
      </c>
      <c r="L10" s="104" t="s">
        <v>193</v>
      </c>
      <c r="M10" s="103">
        <v>7.2800000000000002E-4</v>
      </c>
      <c r="N10" s="114" t="s">
        <v>193</v>
      </c>
      <c r="O10" s="103">
        <v>0.628</v>
      </c>
    </row>
    <row r="11" spans="1:15" ht="15" customHeight="1" thickBot="1">
      <c r="A11" s="104" t="s">
        <v>194</v>
      </c>
      <c r="B11" s="108">
        <v>5.5200000000000008E-4</v>
      </c>
      <c r="D11" s="104" t="s">
        <v>194</v>
      </c>
      <c r="E11" s="103">
        <v>5.5199999999999997E-4</v>
      </c>
      <c r="F11" s="172"/>
      <c r="G11" s="169">
        <v>4.8500000000000003E-4</v>
      </c>
      <c r="H11" s="169">
        <v>3.2600000000000001E-4</v>
      </c>
      <c r="I11" s="168">
        <f t="shared" si="0"/>
        <v>4.0699999999999997E-4</v>
      </c>
      <c r="L11" s="104" t="s">
        <v>194</v>
      </c>
      <c r="M11" s="103">
        <v>3.2600000000000001E-4</v>
      </c>
      <c r="N11" s="114" t="s">
        <v>194</v>
      </c>
      <c r="O11" s="103">
        <v>0.40699999999999997</v>
      </c>
    </row>
    <row r="12" spans="1:15" ht="15" customHeight="1" thickBot="1">
      <c r="A12" s="104" t="s">
        <v>195</v>
      </c>
      <c r="B12" s="108">
        <v>5.2500000000000008E-4</v>
      </c>
      <c r="D12" s="104" t="s">
        <v>195</v>
      </c>
      <c r="E12" s="103">
        <v>5.2499999999999997E-4</v>
      </c>
      <c r="F12" s="172"/>
      <c r="G12" s="169">
        <v>5.0299999999999997E-4</v>
      </c>
      <c r="H12" s="169">
        <v>3.48E-4</v>
      </c>
      <c r="I12" s="168">
        <f t="shared" si="0"/>
        <v>3.6899999999999997E-4</v>
      </c>
      <c r="L12" s="104" t="s">
        <v>195</v>
      </c>
      <c r="M12" s="103">
        <v>3.8499999999999998E-4</v>
      </c>
      <c r="N12" s="114" t="s">
        <v>195</v>
      </c>
      <c r="O12" s="103">
        <v>0.36899999999999999</v>
      </c>
    </row>
    <row r="13" spans="1:15" ht="15" customHeight="1" thickBot="1">
      <c r="A13" s="104" t="s">
        <v>196</v>
      </c>
      <c r="B13" s="108">
        <v>9.320000000000001E-4</v>
      </c>
      <c r="D13" s="104" t="s">
        <v>196</v>
      </c>
      <c r="E13" s="103">
        <v>9.3199999999999999E-4</v>
      </c>
      <c r="F13" s="172"/>
      <c r="G13" s="169">
        <v>6.9200000000000002E-4</v>
      </c>
      <c r="H13" s="169">
        <v>6.9200000000000002E-4</v>
      </c>
      <c r="I13" s="168">
        <f t="shared" si="0"/>
        <v>9.3100000000000008E-4</v>
      </c>
      <c r="L13" s="104" t="s">
        <v>196</v>
      </c>
      <c r="M13" s="103">
        <v>9.3499999999999996E-4</v>
      </c>
      <c r="N13" s="114" t="s">
        <v>196</v>
      </c>
      <c r="O13" s="103">
        <v>0.93100000000000005</v>
      </c>
    </row>
    <row r="14" spans="1:15" ht="15" customHeight="1" thickBot="1">
      <c r="A14" s="104" t="s">
        <v>197</v>
      </c>
      <c r="B14" s="108">
        <v>6.1200000000000002E-4</v>
      </c>
      <c r="D14" s="104" t="s">
        <v>197</v>
      </c>
      <c r="E14" s="103">
        <v>6.1200000000000002E-4</v>
      </c>
      <c r="F14" s="172"/>
      <c r="G14" s="169">
        <v>4.3800000000000002E-4</v>
      </c>
      <c r="H14" s="169">
        <v>4.1800000000000002E-4</v>
      </c>
      <c r="I14" s="168">
        <f t="shared" si="0"/>
        <v>5.8599999999999993E-4</v>
      </c>
      <c r="L14" s="104" t="s">
        <v>197</v>
      </c>
      <c r="M14" s="103">
        <v>5.5999999999999995E-4</v>
      </c>
      <c r="N14" s="114" t="s">
        <v>197</v>
      </c>
      <c r="O14" s="103">
        <v>0.58599999999999997</v>
      </c>
    </row>
    <row r="15" spans="1:15" ht="15" customHeight="1" thickBot="1">
      <c r="A15" s="104" t="s">
        <v>198</v>
      </c>
      <c r="B15" s="108">
        <v>2.7500000000000002E-4</v>
      </c>
      <c r="D15" s="104" t="s">
        <v>198</v>
      </c>
      <c r="E15" s="103">
        <v>2.7500000000000002E-4</v>
      </c>
      <c r="F15" s="172"/>
      <c r="G15" s="169">
        <v>2.7500000000000002E-4</v>
      </c>
      <c r="H15" s="169">
        <v>3.4499999999999998E-4</v>
      </c>
      <c r="I15" s="168">
        <f t="shared" si="0"/>
        <v>3.6600000000000001E-4</v>
      </c>
      <c r="L15" s="104" t="s">
        <v>198</v>
      </c>
      <c r="M15" s="103">
        <v>3.4499999999999998E-4</v>
      </c>
      <c r="N15" s="114" t="s">
        <v>198</v>
      </c>
      <c r="O15" s="103">
        <v>0.36599999999999999</v>
      </c>
    </row>
    <row r="16" spans="1:15" ht="15" customHeight="1" thickBot="1">
      <c r="A16" s="104" t="s">
        <v>199</v>
      </c>
      <c r="B16" s="108">
        <v>6.0399999999999994E-4</v>
      </c>
      <c r="D16" s="104" t="s">
        <v>199</v>
      </c>
      <c r="E16" s="103">
        <v>6.0400000000000004E-4</v>
      </c>
      <c r="F16" s="172"/>
      <c r="G16" s="169">
        <v>3.8299999999999999E-4</v>
      </c>
      <c r="H16" s="169">
        <v>4.2000000000000002E-4</v>
      </c>
      <c r="I16" s="168">
        <f t="shared" si="0"/>
        <v>4.2200000000000001E-4</v>
      </c>
      <c r="L16" s="104" t="s">
        <v>199</v>
      </c>
      <c r="M16" s="103">
        <v>4.2000000000000002E-4</v>
      </c>
      <c r="N16" s="114" t="s">
        <v>199</v>
      </c>
      <c r="O16" s="103">
        <v>0.42199999999999999</v>
      </c>
    </row>
    <row r="17" spans="1:15" ht="15" customHeight="1" thickBot="1">
      <c r="A17" s="104" t="s">
        <v>200</v>
      </c>
      <c r="B17" s="108">
        <v>5.0299999999999997E-4</v>
      </c>
      <c r="D17" s="104" t="s">
        <v>200</v>
      </c>
      <c r="E17" s="103">
        <v>5.0299999999999997E-4</v>
      </c>
      <c r="F17" s="172"/>
      <c r="G17" s="169">
        <v>4.9399999999999997E-4</v>
      </c>
      <c r="H17" s="169">
        <v>4.4299999999999998E-4</v>
      </c>
      <c r="I17" s="168">
        <f t="shared" si="0"/>
        <v>4.9799999999999996E-4</v>
      </c>
      <c r="L17" s="104" t="s">
        <v>200</v>
      </c>
      <c r="M17" s="103">
        <v>4.7399999999999997E-4</v>
      </c>
      <c r="N17" s="114" t="s">
        <v>200</v>
      </c>
      <c r="O17" s="103">
        <v>0.498</v>
      </c>
    </row>
    <row r="18" spans="1:15" ht="15" customHeight="1" thickBot="1">
      <c r="A18" s="104" t="s">
        <v>201</v>
      </c>
      <c r="B18" s="108">
        <v>4.37E-4</v>
      </c>
      <c r="D18" s="104" t="s">
        <v>201</v>
      </c>
      <c r="E18" s="103">
        <v>4.37E-4</v>
      </c>
      <c r="F18" s="172"/>
      <c r="G18" s="169">
        <v>4.3600000000000003E-4</v>
      </c>
      <c r="H18" s="169">
        <v>5.62E-4</v>
      </c>
      <c r="I18" s="168">
        <f t="shared" si="0"/>
        <v>5.6899999999999995E-4</v>
      </c>
      <c r="L18" s="104" t="s">
        <v>201</v>
      </c>
      <c r="M18" s="103">
        <v>5.62E-4</v>
      </c>
      <c r="N18" s="114" t="s">
        <v>201</v>
      </c>
      <c r="O18" s="103">
        <v>0.56899999999999995</v>
      </c>
    </row>
    <row r="19" spans="1:15" ht="15" customHeight="1" thickBot="1">
      <c r="A19" s="104" t="s">
        <v>202</v>
      </c>
      <c r="B19" s="108">
        <v>4.3199999999999998E-4</v>
      </c>
      <c r="D19" s="104" t="s">
        <v>202</v>
      </c>
      <c r="E19" s="103">
        <v>4.3199999999999998E-4</v>
      </c>
      <c r="F19" s="172"/>
      <c r="G19" s="169">
        <v>4.3199999999999998E-4</v>
      </c>
      <c r="H19" s="169">
        <v>4.2299999999999998E-4</v>
      </c>
      <c r="I19" s="168">
        <f>+O20/1000</f>
        <v>4.7199999999999998E-4</v>
      </c>
      <c r="L19" s="104" t="s">
        <v>202</v>
      </c>
      <c r="M19" s="103">
        <v>4.2299999999999998E-4</v>
      </c>
      <c r="O19" s="103">
        <v>0.57099999999999995</v>
      </c>
    </row>
    <row r="20" spans="1:15" ht="15" customHeight="1" thickBot="1">
      <c r="A20" s="114" t="s">
        <v>235</v>
      </c>
      <c r="B20" s="108"/>
      <c r="D20" s="104"/>
      <c r="E20" s="103"/>
      <c r="F20" s="172"/>
      <c r="G20" s="169"/>
      <c r="H20" s="169"/>
      <c r="L20" s="104"/>
      <c r="M20" s="103"/>
      <c r="N20" s="114" t="s">
        <v>202</v>
      </c>
      <c r="O20" s="103">
        <v>0.47199999999999998</v>
      </c>
    </row>
    <row r="21" spans="1:15" ht="15" customHeight="1" thickBot="1">
      <c r="A21" s="104" t="s">
        <v>203</v>
      </c>
      <c r="B21" s="108">
        <v>4.5900000000000004E-4</v>
      </c>
      <c r="D21" s="104" t="s">
        <v>203</v>
      </c>
      <c r="E21" s="103">
        <v>4.5899999999999999E-4</v>
      </c>
      <c r="F21" s="172"/>
      <c r="G21" s="169">
        <v>4.5800000000000002E-4</v>
      </c>
      <c r="H21" s="169">
        <v>5.8500000000000002E-4</v>
      </c>
      <c r="I21" s="168">
        <f>+O21/1000</f>
        <v>7.0399999999999998E-4</v>
      </c>
      <c r="L21" s="104" t="s">
        <v>203</v>
      </c>
      <c r="M21" s="103">
        <v>5.8500000000000002E-4</v>
      </c>
      <c r="N21" s="114" t="s">
        <v>203</v>
      </c>
      <c r="O21" s="103">
        <v>0.70399999999999996</v>
      </c>
    </row>
    <row r="22" spans="1:15" ht="15" customHeight="1" thickBot="1">
      <c r="A22" s="104" t="s">
        <v>204</v>
      </c>
      <c r="B22" s="108">
        <v>4.0899999999999997E-4</v>
      </c>
      <c r="D22" s="104" t="s">
        <v>204</v>
      </c>
      <c r="E22" s="103">
        <v>4.0900000000000002E-4</v>
      </c>
      <c r="F22" s="172"/>
      <c r="G22" s="169">
        <v>4.08E-4</v>
      </c>
      <c r="H22" s="169">
        <v>4.0900000000000002E-4</v>
      </c>
      <c r="I22" s="168">
        <f>+O22/1000</f>
        <v>4.2900000000000002E-4</v>
      </c>
      <c r="L22" s="104" t="s">
        <v>204</v>
      </c>
      <c r="M22" s="103">
        <v>4.0900000000000002E-4</v>
      </c>
      <c r="N22" s="114" t="s">
        <v>204</v>
      </c>
      <c r="O22" s="103">
        <v>0.42899999999999999</v>
      </c>
    </row>
    <row r="23" spans="1:15" ht="15" customHeight="1" thickBot="1">
      <c r="A23" s="104" t="s">
        <v>205</v>
      </c>
      <c r="B23" s="108">
        <v>4.4799999999999999E-4</v>
      </c>
      <c r="D23" s="104" t="s">
        <v>205</v>
      </c>
      <c r="E23" s="103">
        <v>4.4799999999999999E-4</v>
      </c>
      <c r="F23" s="172"/>
      <c r="G23" s="169">
        <v>4.4799999999999999E-4</v>
      </c>
      <c r="H23" s="169">
        <v>4.8999999999999998E-4</v>
      </c>
      <c r="I23" s="168">
        <f>+O23/1000</f>
        <v>4.8299999999999998E-4</v>
      </c>
      <c r="L23" s="104" t="s">
        <v>205</v>
      </c>
      <c r="M23" s="103">
        <v>4.8999999999999998E-4</v>
      </c>
      <c r="N23" s="114" t="s">
        <v>205</v>
      </c>
      <c r="O23" s="103">
        <v>0.48299999999999998</v>
      </c>
    </row>
    <row r="24" spans="1:15" ht="15" customHeight="1" thickBot="1">
      <c r="A24" s="104" t="s">
        <v>206</v>
      </c>
      <c r="B24" s="108">
        <v>3.79E-4</v>
      </c>
      <c r="D24" s="104" t="s">
        <v>206</v>
      </c>
      <c r="E24" s="103">
        <v>3.79E-4</v>
      </c>
      <c r="F24" s="172"/>
      <c r="G24" s="169">
        <v>0</v>
      </c>
      <c r="H24" s="169">
        <v>0</v>
      </c>
      <c r="I24" s="168">
        <f>+O24/1000</f>
        <v>6.9999999999999999E-6</v>
      </c>
      <c r="L24" s="104" t="s">
        <v>206</v>
      </c>
      <c r="M24" s="103">
        <v>9.0000000000000002E-6</v>
      </c>
      <c r="N24" s="114" t="s">
        <v>206</v>
      </c>
      <c r="O24" s="103">
        <v>7.0000000000000001E-3</v>
      </c>
    </row>
    <row r="25" spans="1:15" ht="15" customHeight="1" thickBot="1">
      <c r="A25" s="104" t="s">
        <v>207</v>
      </c>
      <c r="B25" s="108">
        <v>8.1699999999999991E-4</v>
      </c>
      <c r="D25" s="104" t="s">
        <v>207</v>
      </c>
      <c r="E25" s="103">
        <v>8.1700000000000002E-4</v>
      </c>
      <c r="F25" s="172"/>
      <c r="G25" s="169">
        <v>8.1599999999999999E-4</v>
      </c>
      <c r="H25" s="169">
        <v>5.8600000000000004E-4</v>
      </c>
      <c r="I25" s="168">
        <f>+O25/1000</f>
        <v>6.1499999999999994E-7</v>
      </c>
      <c r="L25" s="104" t="s">
        <v>230</v>
      </c>
      <c r="M25" s="103">
        <v>5.8600000000000004E-4</v>
      </c>
      <c r="N25" s="114" t="s">
        <v>230</v>
      </c>
      <c r="O25" s="103">
        <v>6.1499999999999999E-4</v>
      </c>
    </row>
    <row r="26" spans="1:15" ht="15" customHeight="1" thickBot="1">
      <c r="A26" s="104" t="s">
        <v>208</v>
      </c>
      <c r="B26" s="108">
        <v>8.2299999999999995E-4</v>
      </c>
      <c r="D26" s="104" t="s">
        <v>208</v>
      </c>
      <c r="E26" s="103">
        <v>8.2299999999999995E-4</v>
      </c>
      <c r="F26" s="172"/>
      <c r="G26" s="169">
        <v>8.1999999999999998E-4</v>
      </c>
      <c r="H26" s="169">
        <v>8.8900000000000003E-4</v>
      </c>
      <c r="I26" s="168">
        <f>+O25</f>
        <v>6.1499999999999999E-4</v>
      </c>
      <c r="L26" s="104" t="s">
        <v>207</v>
      </c>
      <c r="M26" s="103">
        <v>8.8900000000000003E-4</v>
      </c>
      <c r="N26" s="114" t="s">
        <v>207</v>
      </c>
      <c r="O26" s="103">
        <v>9.5199999999999994E-4</v>
      </c>
    </row>
    <row r="27" spans="1:15" ht="15" customHeight="1" thickBot="1">
      <c r="A27" s="104" t="s">
        <v>209</v>
      </c>
      <c r="B27" s="108">
        <v>4.7999999999999996E-4</v>
      </c>
      <c r="D27" s="104" t="s">
        <v>209</v>
      </c>
      <c r="E27" s="103">
        <v>4.8000000000000001E-4</v>
      </c>
      <c r="F27" s="172"/>
      <c r="G27" s="169">
        <v>2.9500000000000001E-4</v>
      </c>
      <c r="H27" s="169">
        <v>5.2099999999999998E-4</v>
      </c>
      <c r="I27" s="168">
        <f>+O29</f>
        <v>6.7500000000000004E-4</v>
      </c>
      <c r="L27" s="104" t="s">
        <v>231</v>
      </c>
      <c r="M27" s="103">
        <v>5.2099999999999998E-4</v>
      </c>
      <c r="N27" s="114" t="s">
        <v>231</v>
      </c>
      <c r="O27" s="103">
        <v>5.2099999999999998E-4</v>
      </c>
    </row>
    <row r="28" spans="1:15" ht="15" customHeight="1" thickBot="1">
      <c r="A28" s="104" t="s">
        <v>210</v>
      </c>
      <c r="B28" s="108">
        <v>3.79E-4</v>
      </c>
      <c r="D28" s="104" t="s">
        <v>210</v>
      </c>
      <c r="E28" s="103">
        <v>3.79E-4</v>
      </c>
      <c r="F28" s="172"/>
      <c r="G28" s="169">
        <v>3.79E-4</v>
      </c>
      <c r="H28" s="169">
        <v>5.44E-4</v>
      </c>
      <c r="I28" s="168">
        <f>+O30</f>
        <v>4.3300000000000001E-4</v>
      </c>
      <c r="L28" s="104" t="s">
        <v>209</v>
      </c>
      <c r="M28" s="103">
        <v>5.44E-4</v>
      </c>
      <c r="N28" s="114" t="s">
        <v>236</v>
      </c>
      <c r="O28" s="103">
        <v>6.4400000000000004E-4</v>
      </c>
    </row>
    <row r="29" spans="1:15" ht="15" customHeight="1" thickBot="1">
      <c r="A29" s="104" t="s">
        <v>211</v>
      </c>
      <c r="B29" s="108">
        <v>4.4200000000000001E-4</v>
      </c>
      <c r="D29" s="104" t="s">
        <v>211</v>
      </c>
      <c r="E29" s="103">
        <v>4.4200000000000001E-4</v>
      </c>
      <c r="F29" s="172"/>
      <c r="G29" s="169">
        <v>4.4200000000000001E-4</v>
      </c>
      <c r="H29" s="169">
        <v>4.2000000000000002E-4</v>
      </c>
      <c r="I29" s="168">
        <f>+O28/1000</f>
        <v>6.44E-7</v>
      </c>
      <c r="L29" s="104" t="s">
        <v>210</v>
      </c>
      <c r="M29" s="103">
        <v>4.2000000000000002E-4</v>
      </c>
      <c r="N29" s="114" t="s">
        <v>209</v>
      </c>
      <c r="O29" s="103">
        <v>6.7500000000000004E-4</v>
      </c>
    </row>
    <row r="30" spans="1:15" ht="15" customHeight="1" thickBot="1">
      <c r="A30" s="104" t="s">
        <v>212</v>
      </c>
      <c r="B30" s="108">
        <v>7.6800000000000002E-4</v>
      </c>
      <c r="D30" s="104" t="s">
        <v>212</v>
      </c>
      <c r="E30" s="103">
        <v>7.6800000000000002E-4</v>
      </c>
      <c r="F30" s="172"/>
      <c r="G30" s="169">
        <v>7.67E-4</v>
      </c>
      <c r="H30" s="169">
        <v>3.5500000000000001E-4</v>
      </c>
      <c r="L30" s="104" t="s">
        <v>213</v>
      </c>
      <c r="M30" s="103">
        <v>3.5500000000000001E-4</v>
      </c>
      <c r="N30" s="114" t="s">
        <v>210</v>
      </c>
      <c r="O30" s="103">
        <v>4.3300000000000001E-4</v>
      </c>
    </row>
    <row r="31" spans="1:15" ht="15" customHeight="1" thickBot="1">
      <c r="A31" s="104" t="s">
        <v>213</v>
      </c>
      <c r="B31" s="108">
        <v>3.7100000000000002E-4</v>
      </c>
      <c r="D31" s="104" t="s">
        <v>213</v>
      </c>
      <c r="E31" s="103">
        <v>3.7100000000000002E-4</v>
      </c>
      <c r="F31" s="172"/>
      <c r="G31" s="169">
        <v>3.6999999999999999E-4</v>
      </c>
      <c r="H31" s="169">
        <v>6.7199999999999996E-4</v>
      </c>
      <c r="I31" s="168">
        <f t="shared" ref="I31:I37" si="1">+O31</f>
        <v>9.01E-4</v>
      </c>
      <c r="L31" s="104" t="s">
        <v>232</v>
      </c>
      <c r="M31" s="103">
        <v>6.7199999999999996E-4</v>
      </c>
      <c r="N31" s="114" t="s">
        <v>213</v>
      </c>
      <c r="O31" s="103">
        <v>9.01E-4</v>
      </c>
    </row>
    <row r="32" spans="1:15" ht="15" customHeight="1" thickBot="1">
      <c r="A32" s="104" t="s">
        <v>214</v>
      </c>
      <c r="B32" s="108">
        <v>6.0099999999999997E-4</v>
      </c>
      <c r="D32" s="104" t="s">
        <v>214</v>
      </c>
      <c r="E32" s="103">
        <v>6.0099999999999997E-4</v>
      </c>
      <c r="F32" s="172"/>
      <c r="G32" s="169">
        <v>5.9999999999999995E-4</v>
      </c>
      <c r="H32" s="169">
        <v>3.86E-4</v>
      </c>
      <c r="I32" s="168">
        <f t="shared" si="1"/>
        <v>6.8500000000000006E-4</v>
      </c>
      <c r="L32" s="104" t="s">
        <v>215</v>
      </c>
      <c r="M32" s="103">
        <v>3.86E-4</v>
      </c>
      <c r="N32" s="114" t="s">
        <v>232</v>
      </c>
      <c r="O32" s="103">
        <v>6.8500000000000006E-4</v>
      </c>
    </row>
    <row r="33" spans="1:15" ht="15" customHeight="1" thickBot="1">
      <c r="A33" s="104" t="s">
        <v>215</v>
      </c>
      <c r="B33" s="108">
        <v>3.7800000000000003E-4</v>
      </c>
      <c r="D33" s="104" t="s">
        <v>215</v>
      </c>
      <c r="E33" s="103">
        <v>3.7800000000000003E-4</v>
      </c>
      <c r="F33" s="172"/>
      <c r="G33" s="169">
        <v>3.77E-4</v>
      </c>
      <c r="H33" s="169">
        <v>4.9799999999999996E-4</v>
      </c>
      <c r="I33" s="168">
        <f t="shared" si="1"/>
        <v>3.3700000000000001E-4</v>
      </c>
      <c r="L33" s="104" t="s">
        <v>216</v>
      </c>
      <c r="M33" s="103">
        <v>4.9799999999999996E-4</v>
      </c>
      <c r="N33" s="114" t="s">
        <v>215</v>
      </c>
      <c r="O33" s="103">
        <v>3.3700000000000001E-4</v>
      </c>
    </row>
    <row r="34" spans="1:15" ht="15" customHeight="1" thickBot="1">
      <c r="A34" s="104" t="s">
        <v>216</v>
      </c>
      <c r="B34" s="108">
        <v>3.9300000000000001E-4</v>
      </c>
      <c r="D34" s="104" t="s">
        <v>216</v>
      </c>
      <c r="E34" s="103">
        <v>3.9300000000000001E-4</v>
      </c>
      <c r="F34" s="172"/>
      <c r="G34" s="169">
        <v>3.9199999999999999E-4</v>
      </c>
      <c r="H34" s="169">
        <v>3.28E-4</v>
      </c>
      <c r="I34" s="168">
        <f t="shared" si="1"/>
        <v>4.6700000000000002E-4</v>
      </c>
      <c r="L34" s="104" t="s">
        <v>217</v>
      </c>
      <c r="M34" s="103">
        <v>3.28E-4</v>
      </c>
      <c r="N34" s="114" t="s">
        <v>216</v>
      </c>
      <c r="O34" s="103">
        <v>4.6700000000000002E-4</v>
      </c>
    </row>
    <row r="35" spans="1:15" ht="15" customHeight="1" thickBot="1">
      <c r="A35" s="104" t="s">
        <v>217</v>
      </c>
      <c r="B35" s="108">
        <v>3.9100000000000002E-4</v>
      </c>
      <c r="D35" s="104" t="s">
        <v>217</v>
      </c>
      <c r="E35" s="103">
        <v>3.9100000000000002E-4</v>
      </c>
      <c r="F35" s="172"/>
      <c r="G35" s="169">
        <v>3.9100000000000002E-4</v>
      </c>
      <c r="H35" s="169">
        <v>5.7000000000000003E-5</v>
      </c>
      <c r="I35" s="168">
        <f t="shared" si="1"/>
        <v>3.0299999999999999E-4</v>
      </c>
      <c r="L35" s="104" t="s">
        <v>218</v>
      </c>
      <c r="M35" s="103">
        <v>5.7000000000000003E-5</v>
      </c>
      <c r="N35" s="114" t="s">
        <v>217</v>
      </c>
      <c r="O35" s="103">
        <v>3.0299999999999999E-4</v>
      </c>
    </row>
    <row r="36" spans="1:15" ht="15" customHeight="1" thickBot="1">
      <c r="A36" s="104" t="s">
        <v>218</v>
      </c>
      <c r="B36" s="108">
        <v>6.5000000000000008E-5</v>
      </c>
      <c r="D36" s="104" t="s">
        <v>218</v>
      </c>
      <c r="E36" s="103">
        <v>6.4999999999999994E-5</v>
      </c>
      <c r="F36" s="172"/>
      <c r="G36" s="169">
        <v>6.4999999999999994E-5</v>
      </c>
      <c r="H36" s="169">
        <v>6.38E-4</v>
      </c>
      <c r="I36" s="168">
        <f t="shared" si="1"/>
        <v>5.7000000000000003E-5</v>
      </c>
      <c r="L36" s="104" t="s">
        <v>219</v>
      </c>
      <c r="M36" s="103">
        <v>6.38E-4</v>
      </c>
      <c r="N36" s="114" t="s">
        <v>218</v>
      </c>
      <c r="O36" s="103">
        <v>5.7000000000000003E-5</v>
      </c>
    </row>
    <row r="37" spans="1:15" ht="15" customHeight="1" thickBot="1">
      <c r="A37" s="104" t="s">
        <v>219</v>
      </c>
      <c r="B37" s="108">
        <v>4.7599999999999997E-4</v>
      </c>
      <c r="D37" s="104" t="s">
        <v>219</v>
      </c>
      <c r="E37" s="103">
        <v>4.7600000000000002E-4</v>
      </c>
      <c r="F37" s="172"/>
      <c r="G37" s="169">
        <v>4.75E-4</v>
      </c>
      <c r="H37" s="169">
        <v>5.4000000000000001E-4</v>
      </c>
      <c r="I37" s="168">
        <f t="shared" si="1"/>
        <v>6.7000000000000002E-4</v>
      </c>
      <c r="L37" s="104" t="s">
        <v>220</v>
      </c>
      <c r="M37" s="103">
        <v>5.4000000000000001E-4</v>
      </c>
      <c r="N37" s="114" t="s">
        <v>219</v>
      </c>
      <c r="O37" s="103">
        <v>6.7000000000000002E-4</v>
      </c>
    </row>
    <row r="38" spans="1:15" ht="15" customHeight="1" thickBot="1">
      <c r="A38" s="104" t="s">
        <v>220</v>
      </c>
      <c r="B38" s="108">
        <v>4.6300000000000003E-4</v>
      </c>
      <c r="D38" s="104" t="s">
        <v>220</v>
      </c>
      <c r="E38" s="103">
        <v>4.6299999999999998E-4</v>
      </c>
      <c r="F38" s="172"/>
      <c r="G38" s="169">
        <v>2.4699999999999999E-4</v>
      </c>
      <c r="H38" s="169">
        <v>5.9100000000000005E-4</v>
      </c>
      <c r="L38" s="104" t="s">
        <v>221</v>
      </c>
      <c r="M38" s="103">
        <v>5.9100000000000005E-4</v>
      </c>
      <c r="N38" s="114" t="s">
        <v>221</v>
      </c>
      <c r="O38" s="103">
        <v>7.4899999999999999E-4</v>
      </c>
    </row>
    <row r="39" spans="1:15" ht="15" customHeight="1" thickBot="1">
      <c r="A39" s="104" t="s">
        <v>221</v>
      </c>
      <c r="B39" s="108">
        <v>6.0099999999999997E-4</v>
      </c>
      <c r="D39" s="104" t="s">
        <v>221</v>
      </c>
      <c r="E39" s="103">
        <v>6.0099999999999997E-4</v>
      </c>
      <c r="F39" s="172"/>
      <c r="G39" s="169">
        <v>6.0099999999999997E-4</v>
      </c>
      <c r="H39" s="169">
        <v>0</v>
      </c>
      <c r="I39" s="168">
        <f>+O38</f>
        <v>7.4899999999999999E-4</v>
      </c>
      <c r="L39" s="104" t="s">
        <v>222</v>
      </c>
      <c r="M39" s="103">
        <v>0</v>
      </c>
      <c r="N39" s="114" t="s">
        <v>222</v>
      </c>
      <c r="O39" s="103">
        <v>0</v>
      </c>
    </row>
    <row r="40" spans="1:15" ht="15" customHeight="1" thickBot="1">
      <c r="A40" s="104" t="s">
        <v>222</v>
      </c>
      <c r="B40" s="108">
        <v>1.5999999999999999E-5</v>
      </c>
      <c r="D40" s="104" t="s">
        <v>222</v>
      </c>
      <c r="E40" s="103">
        <v>1.5999999999999999E-5</v>
      </c>
      <c r="F40" s="172"/>
      <c r="G40" s="169">
        <v>1.5999999999999999E-5</v>
      </c>
      <c r="H40" s="169">
        <v>4.17E-4</v>
      </c>
      <c r="I40" s="168">
        <f>+O39</f>
        <v>0</v>
      </c>
      <c r="L40" s="104" t="s">
        <v>223</v>
      </c>
      <c r="M40" s="103">
        <v>4.5600000000000003E-4</v>
      </c>
      <c r="N40" s="114" t="s">
        <v>223</v>
      </c>
      <c r="O40" s="103">
        <v>5.4000000000000001E-4</v>
      </c>
    </row>
    <row r="41" spans="1:15" ht="15" customHeight="1" thickBot="1">
      <c r="A41" s="104" t="s">
        <v>223</v>
      </c>
      <c r="B41" s="108">
        <v>3.4300000000000004E-4</v>
      </c>
      <c r="D41" s="104" t="s">
        <v>223</v>
      </c>
      <c r="E41" s="103">
        <v>3.4299999999999999E-4</v>
      </c>
      <c r="F41" s="172"/>
      <c r="G41" s="169">
        <v>3.1500000000000001E-4</v>
      </c>
      <c r="H41" s="169">
        <v>4.9399999999999997E-4</v>
      </c>
      <c r="I41" s="168">
        <f>+O40</f>
        <v>5.4000000000000001E-4</v>
      </c>
      <c r="L41" s="104" t="s">
        <v>224</v>
      </c>
      <c r="M41" s="103">
        <v>4.9399999999999997E-4</v>
      </c>
      <c r="N41" s="114" t="s">
        <v>233</v>
      </c>
      <c r="O41" s="103">
        <v>3.68E-4</v>
      </c>
    </row>
    <row r="42" spans="1:15" ht="15" customHeight="1" thickBot="1">
      <c r="A42" s="105" t="s">
        <v>224</v>
      </c>
      <c r="B42" s="108">
        <v>4.0500000000000003E-4</v>
      </c>
      <c r="D42" s="105" t="s">
        <v>224</v>
      </c>
      <c r="E42" s="103">
        <v>4.0499999999999998E-4</v>
      </c>
      <c r="F42" s="172"/>
      <c r="G42" s="169">
        <v>4.0400000000000001E-4</v>
      </c>
      <c r="H42" s="169">
        <v>2.32E-4</v>
      </c>
      <c r="L42" s="105" t="s">
        <v>233</v>
      </c>
      <c r="M42" s="103">
        <v>2.32E-4</v>
      </c>
    </row>
  </sheetData>
  <mergeCells count="4">
    <mergeCell ref="A2:A3"/>
    <mergeCell ref="D2:D3"/>
    <mergeCell ref="L1:L2"/>
    <mergeCell ref="N1:N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35"/>
  <sheetViews>
    <sheetView topLeftCell="C23" workbookViewId="0">
      <selection activeCell="P25" sqref="P25"/>
    </sheetView>
  </sheetViews>
  <sheetFormatPr defaultRowHeight="14.25"/>
  <cols>
    <col min="1" max="2" width="9" style="27"/>
    <col min="3" max="3" width="12.5" style="27" customWidth="1"/>
    <col min="4" max="4" width="13.375" style="27" bestFit="1" customWidth="1"/>
    <col min="5" max="5" width="10.125" style="27" customWidth="1"/>
    <col min="6" max="6" width="15" style="27" customWidth="1"/>
    <col min="7" max="8" width="9" style="27"/>
    <col min="9" max="9" width="7" style="27" customWidth="1"/>
    <col min="10" max="11" width="9.125" style="27" bestFit="1" customWidth="1"/>
    <col min="12" max="12" width="9.625" style="27" customWidth="1"/>
    <col min="13" max="13" width="10.375" style="27" customWidth="1"/>
    <col min="14" max="14" width="9.125" style="27" bestFit="1" customWidth="1"/>
    <col min="15" max="15" width="10.125" style="27" bestFit="1" customWidth="1"/>
    <col min="16" max="16" width="14.75" style="27" customWidth="1"/>
    <col min="17" max="17" width="13" style="27" customWidth="1"/>
    <col min="18" max="18" width="9.125" style="27" bestFit="1" customWidth="1"/>
    <col min="19" max="16384" width="9" style="27"/>
  </cols>
  <sheetData>
    <row r="1" spans="2:18" ht="15" thickBot="1">
      <c r="B1" s="136" t="s">
        <v>59</v>
      </c>
      <c r="C1" s="136"/>
      <c r="D1" s="136"/>
      <c r="E1" s="136"/>
      <c r="F1" s="136"/>
      <c r="G1" s="136"/>
      <c r="I1" s="28" t="s">
        <v>60</v>
      </c>
      <c r="J1" s="28"/>
      <c r="K1" s="28" t="s">
        <v>61</v>
      </c>
      <c r="L1" s="29">
        <v>6000</v>
      </c>
      <c r="M1" s="30" t="s">
        <v>48</v>
      </c>
      <c r="N1" s="28"/>
      <c r="O1" s="28"/>
      <c r="P1" s="28"/>
      <c r="Q1" s="28"/>
    </row>
    <row r="2" spans="2:18" ht="15" thickBot="1">
      <c r="B2" s="137" t="s">
        <v>62</v>
      </c>
      <c r="C2" s="138"/>
      <c r="D2" s="61" t="s">
        <v>63</v>
      </c>
      <c r="E2" s="138" t="s">
        <v>62</v>
      </c>
      <c r="F2" s="138"/>
      <c r="G2" s="62" t="s">
        <v>63</v>
      </c>
      <c r="I2" s="32">
        <v>6000</v>
      </c>
      <c r="J2" s="30" t="s">
        <v>48</v>
      </c>
      <c r="K2" s="28" t="s">
        <v>64</v>
      </c>
      <c r="L2" s="29">
        <v>1600</v>
      </c>
      <c r="M2" s="30" t="s">
        <v>48</v>
      </c>
      <c r="N2" s="28"/>
      <c r="O2" s="33" t="s">
        <v>65</v>
      </c>
      <c r="P2" s="45">
        <v>1.0189999999999999</v>
      </c>
      <c r="Q2" s="34"/>
      <c r="R2" s="51">
        <f>1.019^15</f>
        <v>1.3262114102179181</v>
      </c>
    </row>
    <row r="3" spans="2:18" ht="15" thickTop="1">
      <c r="B3" s="139" t="s">
        <v>66</v>
      </c>
      <c r="C3" s="59" t="s">
        <v>67</v>
      </c>
      <c r="D3" s="59">
        <v>439000</v>
      </c>
      <c r="E3" s="141" t="s">
        <v>68</v>
      </c>
      <c r="F3" s="59" t="s">
        <v>69</v>
      </c>
      <c r="G3" s="60">
        <f>+I2*I3/1000</f>
        <v>168000</v>
      </c>
      <c r="I3" s="32">
        <v>28000</v>
      </c>
      <c r="J3" s="30" t="s">
        <v>49</v>
      </c>
      <c r="K3" s="28"/>
      <c r="L3" s="33" t="s">
        <v>61</v>
      </c>
      <c r="M3" s="30">
        <v>28000</v>
      </c>
      <c r="N3" s="28"/>
      <c r="O3" s="33" t="s">
        <v>70</v>
      </c>
      <c r="P3" s="45">
        <v>1.9E-2</v>
      </c>
      <c r="Q3" s="116"/>
      <c r="R3" s="37"/>
    </row>
    <row r="4" spans="2:18">
      <c r="B4" s="140"/>
      <c r="C4" s="31" t="s">
        <v>71</v>
      </c>
      <c r="D4" s="38">
        <v>364900</v>
      </c>
      <c r="E4" s="134"/>
      <c r="F4" s="31" t="s">
        <v>72</v>
      </c>
      <c r="G4" s="53">
        <f>-I5</f>
        <v>-750</v>
      </c>
      <c r="I4" s="28" t="s">
        <v>73</v>
      </c>
      <c r="J4" s="28"/>
      <c r="K4" s="28" t="s">
        <v>74</v>
      </c>
      <c r="L4" s="28"/>
      <c r="M4" s="28"/>
      <c r="N4" s="28" t="s">
        <v>75</v>
      </c>
      <c r="P4" s="47">
        <f>1/P5</f>
        <v>12.945916056924586</v>
      </c>
      <c r="Q4" s="28"/>
    </row>
    <row r="5" spans="2:18">
      <c r="B5" s="140"/>
      <c r="C5" s="31" t="s">
        <v>76</v>
      </c>
      <c r="D5" s="31">
        <f>D3+D4</f>
        <v>803900</v>
      </c>
      <c r="E5" s="134"/>
      <c r="F5" s="31" t="s">
        <v>77</v>
      </c>
      <c r="G5" s="53">
        <f>+L2*K5/1000</f>
        <v>1600</v>
      </c>
      <c r="I5" s="39">
        <v>750</v>
      </c>
      <c r="J5" s="30" t="s">
        <v>49</v>
      </c>
      <c r="K5" s="29">
        <v>1000</v>
      </c>
      <c r="L5" s="30" t="s">
        <v>49</v>
      </c>
      <c r="M5" s="28"/>
      <c r="N5" s="28"/>
      <c r="O5" s="28"/>
      <c r="P5" s="46">
        <f>+P3/(1-(1+P3)^-I22)</f>
        <v>7.7244437211155426E-2</v>
      </c>
      <c r="Q5" s="28"/>
    </row>
    <row r="6" spans="2:18">
      <c r="B6" s="140" t="s">
        <v>78</v>
      </c>
      <c r="C6" s="31" t="s">
        <v>79</v>
      </c>
      <c r="D6" s="31">
        <v>0</v>
      </c>
      <c r="E6" s="134"/>
      <c r="F6" s="31" t="s">
        <v>76</v>
      </c>
      <c r="G6" s="54">
        <f>G3+G4+G5</f>
        <v>168850</v>
      </c>
      <c r="I6" s="115"/>
      <c r="J6" s="115" t="s">
        <v>80</v>
      </c>
      <c r="K6" s="115" t="s">
        <v>81</v>
      </c>
      <c r="L6" s="115" t="s">
        <v>73</v>
      </c>
      <c r="M6" s="115" t="s">
        <v>61</v>
      </c>
      <c r="N6" s="115" t="s">
        <v>82</v>
      </c>
      <c r="O6" s="115" t="s">
        <v>83</v>
      </c>
      <c r="P6" s="115" t="s">
        <v>84</v>
      </c>
      <c r="Q6" s="116"/>
    </row>
    <row r="7" spans="2:18">
      <c r="B7" s="140"/>
      <c r="C7" s="31" t="s">
        <v>85</v>
      </c>
      <c r="D7" s="31">
        <v>538269</v>
      </c>
      <c r="E7" s="142" t="s">
        <v>86</v>
      </c>
      <c r="F7" s="31" t="s">
        <v>87</v>
      </c>
      <c r="G7" s="144">
        <f>IF($I2=F22,G22,IF($I2=F23,G23,IF($I2=F24,G24)))</f>
        <v>94800</v>
      </c>
      <c r="I7" s="115">
        <v>0</v>
      </c>
      <c r="J7" s="48">
        <f>D5</f>
        <v>803900</v>
      </c>
      <c r="K7" s="48"/>
      <c r="L7" s="48"/>
      <c r="M7" s="48"/>
      <c r="N7" s="48"/>
      <c r="O7" s="48">
        <f>J7</f>
        <v>803900</v>
      </c>
      <c r="P7" s="48">
        <f>O7</f>
        <v>803900</v>
      </c>
      <c r="Q7" s="116">
        <f>+P7</f>
        <v>803900</v>
      </c>
      <c r="R7" s="116"/>
    </row>
    <row r="8" spans="2:18">
      <c r="B8" s="140"/>
      <c r="C8" s="31" t="s">
        <v>88</v>
      </c>
      <c r="D8" s="31">
        <v>265631</v>
      </c>
      <c r="E8" s="143"/>
      <c r="F8" s="31" t="s">
        <v>89</v>
      </c>
      <c r="G8" s="144"/>
      <c r="I8" s="115">
        <v>1</v>
      </c>
      <c r="J8" s="48"/>
      <c r="K8" s="48">
        <f>$G$16</f>
        <v>94800</v>
      </c>
      <c r="L8" s="48">
        <f>-$G$4</f>
        <v>750</v>
      </c>
      <c r="M8" s="48">
        <f>-$G$3</f>
        <v>-168000</v>
      </c>
      <c r="N8" s="48">
        <f>-1*$G$5</f>
        <v>-1600</v>
      </c>
      <c r="O8" s="48">
        <f>K8+L8+M8+N8</f>
        <v>-74050</v>
      </c>
      <c r="P8" s="48">
        <f>O8/($P$2)^I8</f>
        <v>-72669.283611383711</v>
      </c>
      <c r="Q8" s="116">
        <f>+Q7+P8</f>
        <v>731230.71638861625</v>
      </c>
      <c r="R8" s="116"/>
    </row>
    <row r="9" spans="2:18">
      <c r="B9" s="140"/>
      <c r="C9" s="31" t="s">
        <v>76</v>
      </c>
      <c r="D9" s="31">
        <f>D6+D7+D8</f>
        <v>803900</v>
      </c>
      <c r="E9" s="143"/>
      <c r="F9" s="31" t="s">
        <v>90</v>
      </c>
      <c r="G9" s="144"/>
      <c r="I9" s="115">
        <v>2</v>
      </c>
      <c r="J9" s="48"/>
      <c r="K9" s="48">
        <f t="shared" ref="K9:K22" si="0">$G$16</f>
        <v>94800</v>
      </c>
      <c r="L9" s="48">
        <f t="shared" ref="L9:L22" si="1">-$G$4</f>
        <v>750</v>
      </c>
      <c r="M9" s="48">
        <f t="shared" ref="M9:M22" si="2">-$G$3</f>
        <v>-168000</v>
      </c>
      <c r="N9" s="48">
        <f t="shared" ref="N9:N22" si="3">-1*$G$5</f>
        <v>-1600</v>
      </c>
      <c r="O9" s="48">
        <f t="shared" ref="O9:O22" si="4">K9+L9+M9+N9</f>
        <v>-74050</v>
      </c>
      <c r="P9" s="48">
        <f t="shared" ref="P9:P22" si="5">O9/($P$2)^I9</f>
        <v>-71314.311689287264</v>
      </c>
      <c r="Q9" s="116">
        <f>+Q8+P9</f>
        <v>659916.40469932894</v>
      </c>
      <c r="R9" s="116"/>
    </row>
    <row r="10" spans="2:18">
      <c r="B10" s="55" t="s">
        <v>91</v>
      </c>
      <c r="C10" s="31" t="s">
        <v>92</v>
      </c>
      <c r="D10" s="35">
        <v>108570</v>
      </c>
      <c r="E10" s="143"/>
      <c r="F10" s="31" t="s">
        <v>93</v>
      </c>
      <c r="G10" s="144"/>
      <c r="I10" s="115">
        <v>3</v>
      </c>
      <c r="J10" s="48"/>
      <c r="K10" s="48">
        <f t="shared" si="0"/>
        <v>94800</v>
      </c>
      <c r="L10" s="48">
        <f t="shared" si="1"/>
        <v>750</v>
      </c>
      <c r="M10" s="48">
        <f t="shared" si="2"/>
        <v>-168000</v>
      </c>
      <c r="N10" s="48">
        <f t="shared" si="3"/>
        <v>-1600</v>
      </c>
      <c r="O10" s="48">
        <f t="shared" si="4"/>
        <v>-74050</v>
      </c>
      <c r="P10" s="48">
        <f t="shared" si="5"/>
        <v>-69984.604209310361</v>
      </c>
      <c r="Q10" s="116">
        <f t="shared" ref="Q10:Q22" si="6">+Q9+P10</f>
        <v>589931.80049001856</v>
      </c>
      <c r="R10" s="116"/>
    </row>
    <row r="11" spans="2:18">
      <c r="B11" s="140"/>
      <c r="C11" s="134" t="s">
        <v>94</v>
      </c>
      <c r="D11" s="134"/>
      <c r="E11" s="143"/>
      <c r="F11" s="31" t="s">
        <v>95</v>
      </c>
      <c r="G11" s="144"/>
      <c r="I11" s="115">
        <v>4</v>
      </c>
      <c r="J11" s="48"/>
      <c r="K11" s="48">
        <f t="shared" si="0"/>
        <v>94800</v>
      </c>
      <c r="L11" s="48">
        <f t="shared" si="1"/>
        <v>750</v>
      </c>
      <c r="M11" s="48">
        <f t="shared" si="2"/>
        <v>-168000</v>
      </c>
      <c r="N11" s="48">
        <f t="shared" si="3"/>
        <v>-1600</v>
      </c>
      <c r="O11" s="48">
        <f t="shared" si="4"/>
        <v>-74050</v>
      </c>
      <c r="P11" s="48">
        <f t="shared" si="5"/>
        <v>-68679.690097458646</v>
      </c>
      <c r="Q11" s="116">
        <f t="shared" si="6"/>
        <v>521252.1103925599</v>
      </c>
      <c r="R11" s="116"/>
    </row>
    <row r="12" spans="2:18">
      <c r="B12" s="140"/>
      <c r="C12" s="40" t="s">
        <v>67</v>
      </c>
      <c r="D12" s="115" t="s">
        <v>96</v>
      </c>
      <c r="E12" s="143"/>
      <c r="F12" s="31" t="s">
        <v>97</v>
      </c>
      <c r="G12" s="144"/>
      <c r="I12" s="115">
        <v>5</v>
      </c>
      <c r="J12" s="48"/>
      <c r="K12" s="48">
        <f t="shared" si="0"/>
        <v>94800</v>
      </c>
      <c r="L12" s="48">
        <f t="shared" si="1"/>
        <v>750</v>
      </c>
      <c r="M12" s="48">
        <f t="shared" si="2"/>
        <v>-168000</v>
      </c>
      <c r="N12" s="48">
        <f t="shared" si="3"/>
        <v>-1600</v>
      </c>
      <c r="O12" s="48">
        <f t="shared" si="4"/>
        <v>-74050</v>
      </c>
      <c r="P12" s="48">
        <f t="shared" si="5"/>
        <v>-67399.107063256786</v>
      </c>
      <c r="Q12" s="116">
        <f t="shared" si="6"/>
        <v>453853.00332930312</v>
      </c>
      <c r="R12" s="116"/>
    </row>
    <row r="13" spans="2:18">
      <c r="B13" s="140"/>
      <c r="C13" s="40" t="s">
        <v>98</v>
      </c>
      <c r="D13" s="115" t="s">
        <v>99</v>
      </c>
      <c r="E13" s="143"/>
      <c r="F13" s="31" t="s">
        <v>100</v>
      </c>
      <c r="G13" s="144"/>
      <c r="I13" s="115">
        <v>6</v>
      </c>
      <c r="J13" s="48"/>
      <c r="K13" s="48">
        <f t="shared" si="0"/>
        <v>94800</v>
      </c>
      <c r="L13" s="48">
        <f t="shared" si="1"/>
        <v>750</v>
      </c>
      <c r="M13" s="48">
        <f t="shared" si="2"/>
        <v>-168000</v>
      </c>
      <c r="N13" s="48">
        <f t="shared" si="3"/>
        <v>-1600</v>
      </c>
      <c r="O13" s="48">
        <f t="shared" si="4"/>
        <v>-74050</v>
      </c>
      <c r="P13" s="48">
        <f t="shared" si="5"/>
        <v>-66142.401435973283</v>
      </c>
      <c r="Q13" s="116">
        <f t="shared" si="6"/>
        <v>387710.60189332982</v>
      </c>
      <c r="R13" s="116"/>
    </row>
    <row r="14" spans="2:18">
      <c r="B14" s="140"/>
      <c r="C14" s="40" t="s">
        <v>101</v>
      </c>
      <c r="D14" s="115" t="s">
        <v>102</v>
      </c>
      <c r="E14" s="143"/>
      <c r="F14" s="31" t="s">
        <v>103</v>
      </c>
      <c r="G14" s="144"/>
      <c r="I14" s="115">
        <v>7</v>
      </c>
      <c r="J14" s="48"/>
      <c r="K14" s="48">
        <f t="shared" si="0"/>
        <v>94800</v>
      </c>
      <c r="L14" s="48">
        <f t="shared" si="1"/>
        <v>750</v>
      </c>
      <c r="M14" s="48">
        <f t="shared" si="2"/>
        <v>-168000</v>
      </c>
      <c r="N14" s="48">
        <f t="shared" si="3"/>
        <v>-1600</v>
      </c>
      <c r="O14" s="48">
        <f t="shared" si="4"/>
        <v>-74050</v>
      </c>
      <c r="P14" s="48">
        <f t="shared" si="5"/>
        <v>-64909.128003899204</v>
      </c>
      <c r="Q14" s="116">
        <f t="shared" si="6"/>
        <v>322801.47388943064</v>
      </c>
      <c r="R14" s="116"/>
    </row>
    <row r="15" spans="2:18">
      <c r="B15" s="140"/>
      <c r="C15" s="41" t="s">
        <v>71</v>
      </c>
      <c r="D15" s="26" t="s">
        <v>102</v>
      </c>
      <c r="E15" s="143"/>
      <c r="F15" s="31" t="s">
        <v>104</v>
      </c>
      <c r="G15" s="144"/>
      <c r="I15" s="115">
        <v>8</v>
      </c>
      <c r="J15" s="48"/>
      <c r="K15" s="48">
        <f t="shared" si="0"/>
        <v>94800</v>
      </c>
      <c r="L15" s="48">
        <f t="shared" si="1"/>
        <v>750</v>
      </c>
      <c r="M15" s="48">
        <f t="shared" si="2"/>
        <v>-168000</v>
      </c>
      <c r="N15" s="48">
        <f t="shared" si="3"/>
        <v>-1600</v>
      </c>
      <c r="O15" s="48">
        <f t="shared" si="4"/>
        <v>-74050</v>
      </c>
      <c r="P15" s="48">
        <f t="shared" si="5"/>
        <v>-63698.849856623361</v>
      </c>
      <c r="Q15" s="116">
        <f t="shared" si="6"/>
        <v>259102.62403280727</v>
      </c>
      <c r="R15" s="116"/>
    </row>
    <row r="16" spans="2:18">
      <c r="B16" s="140"/>
      <c r="C16" s="41" t="s">
        <v>105</v>
      </c>
      <c r="D16" s="26" t="s">
        <v>106</v>
      </c>
      <c r="E16" s="141"/>
      <c r="F16" s="31" t="s">
        <v>76</v>
      </c>
      <c r="G16" s="53">
        <f>G7</f>
        <v>94800</v>
      </c>
      <c r="I16" s="115">
        <v>9</v>
      </c>
      <c r="J16" s="48"/>
      <c r="K16" s="48">
        <f t="shared" si="0"/>
        <v>94800</v>
      </c>
      <c r="L16" s="48">
        <f t="shared" si="1"/>
        <v>750</v>
      </c>
      <c r="M16" s="48">
        <f t="shared" si="2"/>
        <v>-168000</v>
      </c>
      <c r="N16" s="48">
        <f t="shared" si="3"/>
        <v>-1600</v>
      </c>
      <c r="O16" s="48">
        <f t="shared" si="4"/>
        <v>-74050</v>
      </c>
      <c r="P16" s="48">
        <f t="shared" si="5"/>
        <v>-62511.138230248645</v>
      </c>
      <c r="Q16" s="116">
        <f t="shared" si="6"/>
        <v>196591.48580255863</v>
      </c>
      <c r="R16" s="116"/>
    </row>
    <row r="17" spans="2:18">
      <c r="B17" s="140"/>
      <c r="C17" s="40"/>
      <c r="D17" s="40"/>
      <c r="E17" s="134" t="s">
        <v>107</v>
      </c>
      <c r="F17" s="134"/>
      <c r="G17" s="54">
        <v>35000</v>
      </c>
      <c r="I17" s="115">
        <v>10</v>
      </c>
      <c r="J17" s="49">
        <f>+D10</f>
        <v>108570</v>
      </c>
      <c r="K17" s="48">
        <f t="shared" si="0"/>
        <v>94800</v>
      </c>
      <c r="L17" s="48">
        <f t="shared" si="1"/>
        <v>750</v>
      </c>
      <c r="M17" s="48">
        <f t="shared" si="2"/>
        <v>-168000</v>
      </c>
      <c r="N17" s="48">
        <f t="shared" si="3"/>
        <v>-1600</v>
      </c>
      <c r="O17" s="48">
        <f>J17+K17+L17+M17+N17</f>
        <v>34520</v>
      </c>
      <c r="P17" s="48">
        <f t="shared" si="5"/>
        <v>28597.557835403939</v>
      </c>
      <c r="Q17" s="116">
        <f t="shared" si="6"/>
        <v>225189.04363796258</v>
      </c>
      <c r="R17" s="116"/>
    </row>
    <row r="18" spans="2:18">
      <c r="B18" s="140"/>
      <c r="C18" s="40"/>
      <c r="D18" s="40"/>
      <c r="E18" s="134" t="s">
        <v>108</v>
      </c>
      <c r="F18" s="31" t="s">
        <v>113</v>
      </c>
      <c r="G18" s="54">
        <v>36000</v>
      </c>
      <c r="I18" s="115">
        <v>11</v>
      </c>
      <c r="J18" s="48"/>
      <c r="K18" s="48">
        <f t="shared" si="0"/>
        <v>94800</v>
      </c>
      <c r="L18" s="48">
        <f t="shared" si="1"/>
        <v>750</v>
      </c>
      <c r="M18" s="48">
        <f t="shared" si="2"/>
        <v>-168000</v>
      </c>
      <c r="N18" s="48">
        <f t="shared" si="3"/>
        <v>-1600</v>
      </c>
      <c r="O18" s="48">
        <f t="shared" si="4"/>
        <v>-74050</v>
      </c>
      <c r="P18" s="48">
        <f t="shared" si="5"/>
        <v>-60201.739308630284</v>
      </c>
      <c r="Q18" s="116">
        <f t="shared" si="6"/>
        <v>164987.30432933228</v>
      </c>
      <c r="R18" s="116"/>
    </row>
    <row r="19" spans="2:18">
      <c r="B19" s="140"/>
      <c r="C19" s="40"/>
      <c r="D19" s="40"/>
      <c r="E19" s="134"/>
      <c r="F19" s="31" t="s">
        <v>106</v>
      </c>
      <c r="G19" s="54">
        <v>47000</v>
      </c>
      <c r="I19" s="115">
        <v>12</v>
      </c>
      <c r="J19" s="48"/>
      <c r="K19" s="48">
        <f t="shared" si="0"/>
        <v>94800</v>
      </c>
      <c r="L19" s="48">
        <f t="shared" si="1"/>
        <v>750</v>
      </c>
      <c r="M19" s="48">
        <f t="shared" si="2"/>
        <v>-168000</v>
      </c>
      <c r="N19" s="48">
        <f t="shared" si="3"/>
        <v>-1600</v>
      </c>
      <c r="O19" s="48">
        <f t="shared" si="4"/>
        <v>-74050</v>
      </c>
      <c r="P19" s="48">
        <f t="shared" si="5"/>
        <v>-59079.233865191643</v>
      </c>
      <c r="Q19" s="116">
        <f t="shared" si="6"/>
        <v>105908.07046414065</v>
      </c>
      <c r="R19" s="116"/>
    </row>
    <row r="20" spans="2:18" ht="15" thickBot="1">
      <c r="B20" s="145"/>
      <c r="C20" s="56"/>
      <c r="D20" s="56"/>
      <c r="E20" s="135"/>
      <c r="F20" s="57" t="s">
        <v>109</v>
      </c>
      <c r="G20" s="58">
        <v>23000</v>
      </c>
      <c r="I20" s="115">
        <v>13</v>
      </c>
      <c r="J20" s="48"/>
      <c r="K20" s="48">
        <f t="shared" si="0"/>
        <v>94800</v>
      </c>
      <c r="L20" s="48">
        <f t="shared" si="1"/>
        <v>750</v>
      </c>
      <c r="M20" s="48">
        <f t="shared" si="2"/>
        <v>-168000</v>
      </c>
      <c r="N20" s="48">
        <f t="shared" si="3"/>
        <v>-1600</v>
      </c>
      <c r="O20" s="48">
        <f t="shared" si="4"/>
        <v>-74050</v>
      </c>
      <c r="P20" s="48">
        <f t="shared" si="5"/>
        <v>-57977.658356419684</v>
      </c>
      <c r="Q20" s="116">
        <f t="shared" si="6"/>
        <v>47930.412107720964</v>
      </c>
      <c r="R20" s="116"/>
    </row>
    <row r="21" spans="2:18">
      <c r="I21" s="115">
        <v>14</v>
      </c>
      <c r="J21" s="48"/>
      <c r="K21" s="48">
        <f t="shared" si="0"/>
        <v>94800</v>
      </c>
      <c r="L21" s="48">
        <f t="shared" si="1"/>
        <v>750</v>
      </c>
      <c r="M21" s="48">
        <f t="shared" si="2"/>
        <v>-168000</v>
      </c>
      <c r="N21" s="48">
        <f t="shared" si="3"/>
        <v>-1600</v>
      </c>
      <c r="O21" s="48">
        <f t="shared" si="4"/>
        <v>-74050</v>
      </c>
      <c r="P21" s="48">
        <f t="shared" si="5"/>
        <v>-56896.622528380445</v>
      </c>
      <c r="Q21" s="116">
        <f t="shared" si="6"/>
        <v>-8966.2104206594813</v>
      </c>
      <c r="R21" s="116"/>
    </row>
    <row r="22" spans="2:18">
      <c r="F22" s="42">
        <v>6000</v>
      </c>
      <c r="G22" s="42">
        <v>94800</v>
      </c>
      <c r="I22" s="26">
        <v>15</v>
      </c>
      <c r="J22" s="50"/>
      <c r="K22" s="50">
        <f t="shared" si="0"/>
        <v>94800</v>
      </c>
      <c r="L22" s="50">
        <f t="shared" si="1"/>
        <v>750</v>
      </c>
      <c r="M22" s="50">
        <f t="shared" si="2"/>
        <v>-168000</v>
      </c>
      <c r="N22" s="50">
        <f t="shared" si="3"/>
        <v>-1600</v>
      </c>
      <c r="O22" s="50">
        <f t="shared" si="4"/>
        <v>-74050</v>
      </c>
      <c r="P22" s="50">
        <f t="shared" si="5"/>
        <v>-55835.743403709959</v>
      </c>
      <c r="Q22" s="43">
        <f t="shared" si="6"/>
        <v>-64801.953824369441</v>
      </c>
      <c r="R22" s="43">
        <f>SUM(P8:P22)</f>
        <v>-868701.95382436935</v>
      </c>
    </row>
    <row r="23" spans="2:18">
      <c r="F23" s="42">
        <v>4500</v>
      </c>
      <c r="G23" s="42">
        <v>74040</v>
      </c>
      <c r="I23" s="115" t="s">
        <v>58</v>
      </c>
      <c r="J23" s="48">
        <f>SUM(J7:J22)</f>
        <v>912470</v>
      </c>
      <c r="K23" s="48"/>
      <c r="L23" s="48"/>
      <c r="M23" s="48"/>
      <c r="N23" s="48"/>
      <c r="O23" s="48">
        <f>SUM(O8:O22)</f>
        <v>-1002180</v>
      </c>
      <c r="P23" s="48">
        <f>+Q22</f>
        <v>-64801.953824369441</v>
      </c>
      <c r="R23" s="116"/>
    </row>
    <row r="24" spans="2:18">
      <c r="C24" s="52"/>
      <c r="D24" s="52"/>
      <c r="F24" s="42">
        <v>3000</v>
      </c>
      <c r="G24" s="42">
        <v>63180</v>
      </c>
      <c r="R24" s="116"/>
    </row>
    <row r="25" spans="2:18" ht="20.25">
      <c r="F25" s="42"/>
      <c r="G25" s="42"/>
      <c r="I25" s="27" t="s">
        <v>110</v>
      </c>
      <c r="P25" s="44">
        <f>+P23/P4</f>
        <v>-5005.5904533466983</v>
      </c>
    </row>
    <row r="26" spans="2:18" ht="21" thickBot="1">
      <c r="F26" s="42"/>
      <c r="G26" s="42"/>
      <c r="I26" s="63" t="s">
        <v>111</v>
      </c>
      <c r="J26" s="63"/>
      <c r="K26" s="63" t="s">
        <v>114</v>
      </c>
      <c r="L26" s="63"/>
      <c r="M26" s="64">
        <f>P26/L1</f>
        <v>0.10116666666666667</v>
      </c>
      <c r="N26" s="63"/>
      <c r="O26" s="63"/>
      <c r="P26" s="65">
        <f>607*$I$2/6000</f>
        <v>607</v>
      </c>
      <c r="R26" s="116"/>
    </row>
    <row r="27" spans="2:18" ht="21" thickBot="1">
      <c r="F27" s="42"/>
      <c r="G27" s="42"/>
      <c r="I27" s="118" t="s">
        <v>112</v>
      </c>
      <c r="J27" s="119"/>
      <c r="K27" s="119" t="s">
        <v>114</v>
      </c>
      <c r="L27" s="119"/>
      <c r="M27" s="120">
        <f>P27/L2</f>
        <v>0.51437500000000003</v>
      </c>
      <c r="N27" s="119"/>
      <c r="O27" s="119"/>
      <c r="P27" s="121">
        <f>823*$I$2/6000</f>
        <v>823</v>
      </c>
      <c r="R27" s="116"/>
    </row>
    <row r="28" spans="2:18" ht="20.25">
      <c r="F28" s="42"/>
      <c r="G28" s="42"/>
      <c r="I28" s="27" t="s">
        <v>239</v>
      </c>
      <c r="P28" s="44">
        <f>+$P$25/P26</f>
        <v>-8.2464422625151528</v>
      </c>
      <c r="R28" s="116"/>
    </row>
    <row r="29" spans="2:18" ht="20.25">
      <c r="F29" s="42"/>
      <c r="G29" s="42"/>
      <c r="I29" s="42" t="s">
        <v>240</v>
      </c>
      <c r="J29" s="42"/>
      <c r="K29" s="42"/>
      <c r="L29" s="42"/>
      <c r="M29" s="42"/>
      <c r="N29" s="42"/>
      <c r="O29" s="42"/>
      <c r="P29" s="122">
        <f>+$P$25/P27</f>
        <v>-6.0821269177967174</v>
      </c>
      <c r="R29" s="116"/>
    </row>
    <row r="30" spans="2:18">
      <c r="F30" s="42"/>
      <c r="G30" s="42"/>
      <c r="R30" s="116"/>
    </row>
    <row r="31" spans="2:18">
      <c r="F31" s="42"/>
      <c r="G31" s="42"/>
      <c r="R31" s="116"/>
    </row>
    <row r="32" spans="2:18">
      <c r="F32" s="42"/>
      <c r="G32" s="42"/>
      <c r="R32" s="116"/>
    </row>
    <row r="33" spans="3:7">
      <c r="F33" s="42"/>
      <c r="G33" s="42"/>
    </row>
    <row r="34" spans="3:7">
      <c r="C34" s="27">
        <v>56300</v>
      </c>
      <c r="D34" s="27">
        <v>10400</v>
      </c>
      <c r="E34" s="27">
        <f>+D34/C34</f>
        <v>0.1847246891651865</v>
      </c>
    </row>
    <row r="35" spans="3:7">
      <c r="C35" s="27">
        <v>93800</v>
      </c>
      <c r="D35" s="27">
        <v>12000</v>
      </c>
      <c r="E35" s="27">
        <f>+D35/C35</f>
        <v>0.1279317697228145</v>
      </c>
    </row>
  </sheetData>
  <mergeCells count="12">
    <mergeCell ref="E17:F17"/>
    <mergeCell ref="E18:E20"/>
    <mergeCell ref="B1:G1"/>
    <mergeCell ref="B2:C2"/>
    <mergeCell ref="E2:F2"/>
    <mergeCell ref="B3:B5"/>
    <mergeCell ref="E3:E6"/>
    <mergeCell ref="B6:B9"/>
    <mergeCell ref="E7:E16"/>
    <mergeCell ref="G7:G15"/>
    <mergeCell ref="B11:B20"/>
    <mergeCell ref="C11:D11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35"/>
  <sheetViews>
    <sheetView topLeftCell="B25" workbookViewId="0">
      <selection activeCell="P25" sqref="P25:P29"/>
    </sheetView>
  </sheetViews>
  <sheetFormatPr defaultRowHeight="14.25"/>
  <cols>
    <col min="1" max="2" width="9" style="27"/>
    <col min="3" max="3" width="12.5" style="27" customWidth="1"/>
    <col min="4" max="4" width="13.375" style="27" bestFit="1" customWidth="1"/>
    <col min="5" max="5" width="10.125" style="27" customWidth="1"/>
    <col min="6" max="6" width="15" style="27" customWidth="1"/>
    <col min="7" max="8" width="9" style="27"/>
    <col min="9" max="9" width="7" style="27" customWidth="1"/>
    <col min="10" max="11" width="9.125" style="27" bestFit="1" customWidth="1"/>
    <col min="12" max="12" width="9.625" style="27" customWidth="1"/>
    <col min="13" max="13" width="10.375" style="27" customWidth="1"/>
    <col min="14" max="14" width="9.125" style="27" bestFit="1" customWidth="1"/>
    <col min="15" max="15" width="10.125" style="27" bestFit="1" customWidth="1"/>
    <col min="16" max="16" width="14.75" style="27" customWidth="1"/>
    <col min="17" max="17" width="13" style="27" customWidth="1"/>
    <col min="18" max="18" width="9.125" style="27" bestFit="1" customWidth="1"/>
    <col min="19" max="16384" width="9" style="27"/>
  </cols>
  <sheetData>
    <row r="1" spans="2:18" ht="15" thickBot="1">
      <c r="B1" s="136" t="s">
        <v>242</v>
      </c>
      <c r="C1" s="136"/>
      <c r="D1" s="136"/>
      <c r="E1" s="136"/>
      <c r="F1" s="136"/>
      <c r="G1" s="136"/>
      <c r="I1" s="28" t="s">
        <v>60</v>
      </c>
      <c r="J1" s="28"/>
      <c r="K1" s="28" t="s">
        <v>61</v>
      </c>
      <c r="L1" s="29">
        <v>6000</v>
      </c>
      <c r="M1" s="30" t="s">
        <v>48</v>
      </c>
      <c r="N1" s="28"/>
      <c r="O1" s="28"/>
      <c r="P1" s="28"/>
      <c r="Q1" s="28"/>
    </row>
    <row r="2" spans="2:18" ht="15" thickBot="1">
      <c r="B2" s="137" t="s">
        <v>62</v>
      </c>
      <c r="C2" s="138"/>
      <c r="D2" s="61" t="s">
        <v>63</v>
      </c>
      <c r="E2" s="138" t="s">
        <v>62</v>
      </c>
      <c r="F2" s="138"/>
      <c r="G2" s="62" t="s">
        <v>63</v>
      </c>
      <c r="I2" s="32">
        <v>6000</v>
      </c>
      <c r="J2" s="30" t="s">
        <v>48</v>
      </c>
      <c r="K2" s="28" t="s">
        <v>64</v>
      </c>
      <c r="L2" s="29">
        <v>1600</v>
      </c>
      <c r="M2" s="30" t="s">
        <v>48</v>
      </c>
      <c r="N2" s="28"/>
      <c r="O2" s="33" t="s">
        <v>65</v>
      </c>
      <c r="P2" s="45">
        <v>1.0189999999999999</v>
      </c>
      <c r="Q2" s="34"/>
      <c r="R2" s="51">
        <f>1.019^15</f>
        <v>1.3262114102179181</v>
      </c>
    </row>
    <row r="3" spans="2:18" ht="15" thickTop="1">
      <c r="B3" s="139" t="s">
        <v>66</v>
      </c>
      <c r="C3" s="59" t="s">
        <v>67</v>
      </c>
      <c r="D3" s="59">
        <v>439000</v>
      </c>
      <c r="E3" s="141" t="s">
        <v>68</v>
      </c>
      <c r="F3" s="59" t="s">
        <v>69</v>
      </c>
      <c r="G3" s="60">
        <f>+I2*I3/1000</f>
        <v>153000</v>
      </c>
      <c r="I3" s="32">
        <v>25500</v>
      </c>
      <c r="J3" s="30" t="s">
        <v>49</v>
      </c>
      <c r="K3" s="28"/>
      <c r="L3" s="33" t="s">
        <v>61</v>
      </c>
      <c r="M3" s="30">
        <v>28000</v>
      </c>
      <c r="N3" s="28"/>
      <c r="O3" s="33" t="s">
        <v>70</v>
      </c>
      <c r="P3" s="45">
        <v>1.9E-2</v>
      </c>
      <c r="Q3" s="116"/>
      <c r="R3" s="37"/>
    </row>
    <row r="4" spans="2:18">
      <c r="B4" s="140"/>
      <c r="C4" s="31" t="s">
        <v>71</v>
      </c>
      <c r="D4" s="38">
        <v>364900</v>
      </c>
      <c r="E4" s="134"/>
      <c r="F4" s="31" t="s">
        <v>72</v>
      </c>
      <c r="G4" s="53">
        <f>-I5</f>
        <v>-750</v>
      </c>
      <c r="I4" s="28" t="s">
        <v>73</v>
      </c>
      <c r="J4" s="28"/>
      <c r="K4" s="28" t="s">
        <v>74</v>
      </c>
      <c r="L4" s="28"/>
      <c r="M4" s="28"/>
      <c r="N4" s="28" t="s">
        <v>75</v>
      </c>
      <c r="P4" s="47">
        <f>1/P5</f>
        <v>12.945916056924586</v>
      </c>
      <c r="Q4" s="28"/>
    </row>
    <row r="5" spans="2:18">
      <c r="B5" s="140"/>
      <c r="C5" s="31" t="s">
        <v>76</v>
      </c>
      <c r="D5" s="31">
        <f>D3+D4</f>
        <v>803900</v>
      </c>
      <c r="E5" s="134"/>
      <c r="F5" s="31" t="s">
        <v>77</v>
      </c>
      <c r="G5" s="53">
        <f>+L2*K5/1000</f>
        <v>1600</v>
      </c>
      <c r="I5" s="39">
        <v>750</v>
      </c>
      <c r="J5" s="30" t="s">
        <v>49</v>
      </c>
      <c r="K5" s="29">
        <v>1000</v>
      </c>
      <c r="L5" s="30" t="s">
        <v>49</v>
      </c>
      <c r="M5" s="28"/>
      <c r="N5" s="28"/>
      <c r="O5" s="28"/>
      <c r="P5" s="46">
        <f>+P3/(1-(1+P3)^-I22)</f>
        <v>7.7244437211155426E-2</v>
      </c>
      <c r="Q5" s="28"/>
    </row>
    <row r="6" spans="2:18">
      <c r="B6" s="140" t="s">
        <v>78</v>
      </c>
      <c r="C6" s="31" t="s">
        <v>79</v>
      </c>
      <c r="D6" s="31">
        <v>0</v>
      </c>
      <c r="E6" s="134"/>
      <c r="F6" s="31" t="s">
        <v>76</v>
      </c>
      <c r="G6" s="54">
        <f>G3+G4+G5</f>
        <v>153850</v>
      </c>
      <c r="I6" s="115"/>
      <c r="J6" s="115" t="s">
        <v>80</v>
      </c>
      <c r="K6" s="115" t="s">
        <v>81</v>
      </c>
      <c r="L6" s="115" t="s">
        <v>73</v>
      </c>
      <c r="M6" s="115" t="s">
        <v>61</v>
      </c>
      <c r="N6" s="115" t="s">
        <v>82</v>
      </c>
      <c r="O6" s="115" t="s">
        <v>83</v>
      </c>
      <c r="P6" s="115" t="s">
        <v>84</v>
      </c>
      <c r="Q6" s="116"/>
    </row>
    <row r="7" spans="2:18">
      <c r="B7" s="140"/>
      <c r="C7" s="31" t="s">
        <v>85</v>
      </c>
      <c r="D7" s="31">
        <v>538269</v>
      </c>
      <c r="E7" s="142" t="s">
        <v>86</v>
      </c>
      <c r="F7" s="31" t="s">
        <v>87</v>
      </c>
      <c r="G7" s="144">
        <f>IF($I2=F22,G22,IF($I2=F23,G23,IF($I2=F24,G24)))</f>
        <v>94800</v>
      </c>
      <c r="I7" s="115">
        <v>0</v>
      </c>
      <c r="J7" s="48">
        <f>D5</f>
        <v>803900</v>
      </c>
      <c r="K7" s="48"/>
      <c r="L7" s="48"/>
      <c r="M7" s="48"/>
      <c r="N7" s="48"/>
      <c r="O7" s="48">
        <f>J7</f>
        <v>803900</v>
      </c>
      <c r="P7" s="48">
        <f>O7</f>
        <v>803900</v>
      </c>
      <c r="Q7" s="116">
        <f>+P7</f>
        <v>803900</v>
      </c>
      <c r="R7" s="116"/>
    </row>
    <row r="8" spans="2:18">
      <c r="B8" s="140"/>
      <c r="C8" s="31" t="s">
        <v>88</v>
      </c>
      <c r="D8" s="31">
        <v>265631</v>
      </c>
      <c r="E8" s="143"/>
      <c r="F8" s="31" t="s">
        <v>89</v>
      </c>
      <c r="G8" s="144"/>
      <c r="I8" s="115">
        <v>1</v>
      </c>
      <c r="J8" s="48"/>
      <c r="K8" s="48">
        <f>$G$16</f>
        <v>94800</v>
      </c>
      <c r="L8" s="48">
        <f>-$G$4</f>
        <v>750</v>
      </c>
      <c r="M8" s="48">
        <f>-$G$3</f>
        <v>-153000</v>
      </c>
      <c r="N8" s="48">
        <f>-1*$G$5</f>
        <v>-1600</v>
      </c>
      <c r="O8" s="48">
        <f>K8+L8+M8+N8</f>
        <v>-59050</v>
      </c>
      <c r="P8" s="48">
        <f>O8/($P$2)^I8</f>
        <v>-57948.96957801767</v>
      </c>
      <c r="Q8" s="116">
        <f>+Q7+P8</f>
        <v>745951.03042198229</v>
      </c>
      <c r="R8" s="116"/>
    </row>
    <row r="9" spans="2:18">
      <c r="B9" s="140"/>
      <c r="C9" s="31" t="s">
        <v>76</v>
      </c>
      <c r="D9" s="31">
        <f>D6+D7+D8</f>
        <v>803900</v>
      </c>
      <c r="E9" s="143"/>
      <c r="F9" s="31" t="s">
        <v>90</v>
      </c>
      <c r="G9" s="144"/>
      <c r="I9" s="115">
        <v>2</v>
      </c>
      <c r="J9" s="48"/>
      <c r="K9" s="48">
        <f t="shared" ref="K9:K22" si="0">$G$16</f>
        <v>94800</v>
      </c>
      <c r="L9" s="48">
        <f t="shared" ref="L9:L22" si="1">-$G$4</f>
        <v>750</v>
      </c>
      <c r="M9" s="48">
        <f t="shared" ref="M9:M22" si="2">-$G$3</f>
        <v>-153000</v>
      </c>
      <c r="N9" s="48">
        <f t="shared" ref="N9:N22" si="3">-1*$G$5</f>
        <v>-1600</v>
      </c>
      <c r="O9" s="48">
        <f t="shared" ref="O9:O22" si="4">K9+L9+M9+N9</f>
        <v>-59050</v>
      </c>
      <c r="P9" s="48">
        <f t="shared" ref="P9:P22" si="5">O9/($P$2)^I9</f>
        <v>-56868.468673226373</v>
      </c>
      <c r="Q9" s="116">
        <f>+Q8+P9</f>
        <v>689082.56174875586</v>
      </c>
      <c r="R9" s="116"/>
    </row>
    <row r="10" spans="2:18">
      <c r="B10" s="55" t="s">
        <v>91</v>
      </c>
      <c r="C10" s="31" t="s">
        <v>92</v>
      </c>
      <c r="D10" s="35">
        <v>108570</v>
      </c>
      <c r="E10" s="143"/>
      <c r="F10" s="31" t="s">
        <v>93</v>
      </c>
      <c r="G10" s="144"/>
      <c r="I10" s="115">
        <v>3</v>
      </c>
      <c r="J10" s="48"/>
      <c r="K10" s="48">
        <f t="shared" si="0"/>
        <v>94800</v>
      </c>
      <c r="L10" s="48">
        <f t="shared" si="1"/>
        <v>750</v>
      </c>
      <c r="M10" s="48">
        <f t="shared" si="2"/>
        <v>-153000</v>
      </c>
      <c r="N10" s="48">
        <f t="shared" si="3"/>
        <v>-1600</v>
      </c>
      <c r="O10" s="48">
        <f t="shared" si="4"/>
        <v>-59050</v>
      </c>
      <c r="P10" s="48">
        <f t="shared" si="5"/>
        <v>-55808.114497768765</v>
      </c>
      <c r="Q10" s="116">
        <f t="shared" ref="Q10:Q22" si="6">+Q9+P10</f>
        <v>633274.44725098705</v>
      </c>
      <c r="R10" s="116"/>
    </row>
    <row r="11" spans="2:18">
      <c r="B11" s="140"/>
      <c r="C11" s="134" t="s">
        <v>94</v>
      </c>
      <c r="D11" s="134"/>
      <c r="E11" s="143"/>
      <c r="F11" s="31" t="s">
        <v>95</v>
      </c>
      <c r="G11" s="144"/>
      <c r="I11" s="115">
        <v>4</v>
      </c>
      <c r="J11" s="48"/>
      <c r="K11" s="48">
        <f t="shared" si="0"/>
        <v>94800</v>
      </c>
      <c r="L11" s="48">
        <f t="shared" si="1"/>
        <v>750</v>
      </c>
      <c r="M11" s="48">
        <f t="shared" si="2"/>
        <v>-153000</v>
      </c>
      <c r="N11" s="48">
        <f t="shared" si="3"/>
        <v>-1600</v>
      </c>
      <c r="O11" s="48">
        <f t="shared" si="4"/>
        <v>-59050</v>
      </c>
      <c r="P11" s="48">
        <f t="shared" si="5"/>
        <v>-54767.531401146975</v>
      </c>
      <c r="Q11" s="116">
        <f t="shared" si="6"/>
        <v>578506.91584984004</v>
      </c>
      <c r="R11" s="116"/>
    </row>
    <row r="12" spans="2:18">
      <c r="B12" s="140"/>
      <c r="C12" s="40" t="s">
        <v>67</v>
      </c>
      <c r="D12" s="115" t="s">
        <v>96</v>
      </c>
      <c r="E12" s="143"/>
      <c r="F12" s="31" t="s">
        <v>97</v>
      </c>
      <c r="G12" s="144"/>
      <c r="I12" s="115">
        <v>5</v>
      </c>
      <c r="J12" s="48"/>
      <c r="K12" s="48">
        <f t="shared" si="0"/>
        <v>94800</v>
      </c>
      <c r="L12" s="48">
        <f t="shared" si="1"/>
        <v>750</v>
      </c>
      <c r="M12" s="48">
        <f t="shared" si="2"/>
        <v>-153000</v>
      </c>
      <c r="N12" s="48">
        <f t="shared" si="3"/>
        <v>-1600</v>
      </c>
      <c r="O12" s="48">
        <f t="shared" si="4"/>
        <v>-59050</v>
      </c>
      <c r="P12" s="48">
        <f t="shared" si="5"/>
        <v>-53746.3507371413</v>
      </c>
      <c r="Q12" s="116">
        <f t="shared" si="6"/>
        <v>524760.56511269871</v>
      </c>
      <c r="R12" s="116"/>
    </row>
    <row r="13" spans="2:18">
      <c r="B13" s="140"/>
      <c r="C13" s="40" t="s">
        <v>98</v>
      </c>
      <c r="D13" s="115" t="s">
        <v>99</v>
      </c>
      <c r="E13" s="143"/>
      <c r="F13" s="31" t="s">
        <v>100</v>
      </c>
      <c r="G13" s="144"/>
      <c r="I13" s="115">
        <v>6</v>
      </c>
      <c r="J13" s="48"/>
      <c r="K13" s="48">
        <f t="shared" si="0"/>
        <v>94800</v>
      </c>
      <c r="L13" s="48">
        <f t="shared" si="1"/>
        <v>750</v>
      </c>
      <c r="M13" s="48">
        <f t="shared" si="2"/>
        <v>-153000</v>
      </c>
      <c r="N13" s="48">
        <f t="shared" si="3"/>
        <v>-1600</v>
      </c>
      <c r="O13" s="48">
        <f t="shared" si="4"/>
        <v>-59050</v>
      </c>
      <c r="P13" s="48">
        <f t="shared" si="5"/>
        <v>-52744.210733210297</v>
      </c>
      <c r="Q13" s="116">
        <f t="shared" si="6"/>
        <v>472016.35437948839</v>
      </c>
      <c r="R13" s="116"/>
    </row>
    <row r="14" spans="2:18">
      <c r="B14" s="140"/>
      <c r="C14" s="40" t="s">
        <v>101</v>
      </c>
      <c r="D14" s="115" t="s">
        <v>102</v>
      </c>
      <c r="E14" s="143"/>
      <c r="F14" s="31" t="s">
        <v>103</v>
      </c>
      <c r="G14" s="144"/>
      <c r="I14" s="115">
        <v>7</v>
      </c>
      <c r="J14" s="48"/>
      <c r="K14" s="48">
        <f t="shared" si="0"/>
        <v>94800</v>
      </c>
      <c r="L14" s="48">
        <f t="shared" si="1"/>
        <v>750</v>
      </c>
      <c r="M14" s="48">
        <f t="shared" si="2"/>
        <v>-153000</v>
      </c>
      <c r="N14" s="48">
        <f t="shared" si="3"/>
        <v>-1600</v>
      </c>
      <c r="O14" s="48">
        <f t="shared" si="4"/>
        <v>-59050</v>
      </c>
      <c r="P14" s="48">
        <f t="shared" si="5"/>
        <v>-51760.756362326101</v>
      </c>
      <c r="Q14" s="116">
        <f t="shared" si="6"/>
        <v>420255.59801716229</v>
      </c>
      <c r="R14" s="116"/>
    </row>
    <row r="15" spans="2:18">
      <c r="B15" s="140"/>
      <c r="C15" s="41" t="s">
        <v>71</v>
      </c>
      <c r="D15" s="26" t="s">
        <v>102</v>
      </c>
      <c r="E15" s="143"/>
      <c r="F15" s="31" t="s">
        <v>104</v>
      </c>
      <c r="G15" s="144"/>
      <c r="I15" s="115">
        <v>8</v>
      </c>
      <c r="J15" s="48"/>
      <c r="K15" s="48">
        <f t="shared" si="0"/>
        <v>94800</v>
      </c>
      <c r="L15" s="48">
        <f t="shared" si="1"/>
        <v>750</v>
      </c>
      <c r="M15" s="48">
        <f t="shared" si="2"/>
        <v>-153000</v>
      </c>
      <c r="N15" s="48">
        <f t="shared" si="3"/>
        <v>-1600</v>
      </c>
      <c r="O15" s="48">
        <f t="shared" si="4"/>
        <v>-59050</v>
      </c>
      <c r="P15" s="48">
        <f t="shared" si="5"/>
        <v>-50795.639217199321</v>
      </c>
      <c r="Q15" s="116">
        <f t="shared" si="6"/>
        <v>369459.958799963</v>
      </c>
      <c r="R15" s="116"/>
    </row>
    <row r="16" spans="2:18">
      <c r="B16" s="140"/>
      <c r="C16" s="41" t="s">
        <v>105</v>
      </c>
      <c r="D16" s="26" t="s">
        <v>106</v>
      </c>
      <c r="E16" s="141"/>
      <c r="F16" s="31" t="s">
        <v>76</v>
      </c>
      <c r="G16" s="53">
        <f>G7</f>
        <v>94800</v>
      </c>
      <c r="I16" s="115">
        <v>9</v>
      </c>
      <c r="J16" s="48"/>
      <c r="K16" s="48">
        <f t="shared" si="0"/>
        <v>94800</v>
      </c>
      <c r="L16" s="48">
        <f t="shared" si="1"/>
        <v>750</v>
      </c>
      <c r="M16" s="48">
        <f t="shared" si="2"/>
        <v>-153000</v>
      </c>
      <c r="N16" s="48">
        <f t="shared" si="3"/>
        <v>-1600</v>
      </c>
      <c r="O16" s="48">
        <f t="shared" si="4"/>
        <v>-59050</v>
      </c>
      <c r="P16" s="48">
        <f t="shared" si="5"/>
        <v>-49848.517386849191</v>
      </c>
      <c r="Q16" s="116">
        <f t="shared" si="6"/>
        <v>319611.44141311379</v>
      </c>
      <c r="R16" s="116"/>
    </row>
    <row r="17" spans="2:18">
      <c r="B17" s="140"/>
      <c r="C17" s="40"/>
      <c r="D17" s="40"/>
      <c r="E17" s="134" t="s">
        <v>107</v>
      </c>
      <c r="F17" s="134"/>
      <c r="G17" s="54">
        <v>35000</v>
      </c>
      <c r="I17" s="115">
        <v>10</v>
      </c>
      <c r="J17" s="49">
        <f>+D10</f>
        <v>108570</v>
      </c>
      <c r="K17" s="48">
        <f t="shared" si="0"/>
        <v>94800</v>
      </c>
      <c r="L17" s="48">
        <f t="shared" si="1"/>
        <v>750</v>
      </c>
      <c r="M17" s="48">
        <f t="shared" si="2"/>
        <v>-153000</v>
      </c>
      <c r="N17" s="48">
        <f t="shared" si="3"/>
        <v>-1600</v>
      </c>
      <c r="O17" s="48">
        <f>J17+K17+L17+M17+N17</f>
        <v>49520</v>
      </c>
      <c r="P17" s="48">
        <f t="shared" si="5"/>
        <v>41024.07485542303</v>
      </c>
      <c r="Q17" s="116">
        <f t="shared" si="6"/>
        <v>360635.5162685368</v>
      </c>
      <c r="R17" s="116"/>
    </row>
    <row r="18" spans="2:18">
      <c r="B18" s="140"/>
      <c r="C18" s="40"/>
      <c r="D18" s="40"/>
      <c r="E18" s="134" t="s">
        <v>108</v>
      </c>
      <c r="F18" s="31" t="s">
        <v>113</v>
      </c>
      <c r="G18" s="54">
        <v>36000</v>
      </c>
      <c r="I18" s="115">
        <v>11</v>
      </c>
      <c r="J18" s="48"/>
      <c r="K18" s="48">
        <f t="shared" si="0"/>
        <v>94800</v>
      </c>
      <c r="L18" s="48">
        <f t="shared" si="1"/>
        <v>750</v>
      </c>
      <c r="M18" s="48">
        <f t="shared" si="2"/>
        <v>-153000</v>
      </c>
      <c r="N18" s="48">
        <f t="shared" si="3"/>
        <v>-1600</v>
      </c>
      <c r="O18" s="48">
        <f t="shared" si="4"/>
        <v>-59050</v>
      </c>
      <c r="P18" s="48">
        <f t="shared" si="5"/>
        <v>-48006.923783587008</v>
      </c>
      <c r="Q18" s="116">
        <f t="shared" si="6"/>
        <v>312628.5924849498</v>
      </c>
      <c r="R18" s="116"/>
    </row>
    <row r="19" spans="2:18">
      <c r="B19" s="140"/>
      <c r="C19" s="40"/>
      <c r="D19" s="40"/>
      <c r="E19" s="134"/>
      <c r="F19" s="31" t="s">
        <v>106</v>
      </c>
      <c r="G19" s="54">
        <v>47000</v>
      </c>
      <c r="I19" s="115">
        <v>12</v>
      </c>
      <c r="J19" s="48"/>
      <c r="K19" s="48">
        <f t="shared" si="0"/>
        <v>94800</v>
      </c>
      <c r="L19" s="48">
        <f t="shared" si="1"/>
        <v>750</v>
      </c>
      <c r="M19" s="48">
        <f t="shared" si="2"/>
        <v>-153000</v>
      </c>
      <c r="N19" s="48">
        <f t="shared" si="3"/>
        <v>-1600</v>
      </c>
      <c r="O19" s="48">
        <f t="shared" si="4"/>
        <v>-59050</v>
      </c>
      <c r="P19" s="48">
        <f t="shared" si="5"/>
        <v>-47111.799591351337</v>
      </c>
      <c r="Q19" s="116">
        <f t="shared" si="6"/>
        <v>265516.79289359844</v>
      </c>
      <c r="R19" s="116"/>
    </row>
    <row r="20" spans="2:18" ht="15" thickBot="1">
      <c r="B20" s="145"/>
      <c r="C20" s="56"/>
      <c r="D20" s="56"/>
      <c r="E20" s="135"/>
      <c r="F20" s="57" t="s">
        <v>109</v>
      </c>
      <c r="G20" s="58">
        <v>23000</v>
      </c>
      <c r="I20" s="115">
        <v>13</v>
      </c>
      <c r="J20" s="48"/>
      <c r="K20" s="48">
        <f t="shared" si="0"/>
        <v>94800</v>
      </c>
      <c r="L20" s="48">
        <f t="shared" si="1"/>
        <v>750</v>
      </c>
      <c r="M20" s="48">
        <f t="shared" si="2"/>
        <v>-153000</v>
      </c>
      <c r="N20" s="48">
        <f t="shared" si="3"/>
        <v>-1600</v>
      </c>
      <c r="O20" s="48">
        <f t="shared" si="4"/>
        <v>-59050</v>
      </c>
      <c r="P20" s="48">
        <f t="shared" si="5"/>
        <v>-46233.365644113197</v>
      </c>
      <c r="Q20" s="116">
        <f t="shared" si="6"/>
        <v>219283.42724948525</v>
      </c>
      <c r="R20" s="116"/>
    </row>
    <row r="21" spans="2:18">
      <c r="I21" s="115">
        <v>14</v>
      </c>
      <c r="J21" s="48"/>
      <c r="K21" s="48">
        <f t="shared" si="0"/>
        <v>94800</v>
      </c>
      <c r="L21" s="48">
        <f t="shared" si="1"/>
        <v>750</v>
      </c>
      <c r="M21" s="48">
        <f t="shared" si="2"/>
        <v>-153000</v>
      </c>
      <c r="N21" s="48">
        <f t="shared" si="3"/>
        <v>-1600</v>
      </c>
      <c r="O21" s="48">
        <f t="shared" si="4"/>
        <v>-59050</v>
      </c>
      <c r="P21" s="48">
        <f t="shared" si="5"/>
        <v>-45371.310740052199</v>
      </c>
      <c r="Q21" s="116">
        <f t="shared" si="6"/>
        <v>173912.11650943305</v>
      </c>
      <c r="R21" s="116"/>
    </row>
    <row r="22" spans="2:18">
      <c r="F22" s="42">
        <v>6000</v>
      </c>
      <c r="G22" s="42">
        <v>94800</v>
      </c>
      <c r="I22" s="26">
        <v>15</v>
      </c>
      <c r="J22" s="50"/>
      <c r="K22" s="50">
        <f t="shared" si="0"/>
        <v>94800</v>
      </c>
      <c r="L22" s="50">
        <f t="shared" si="1"/>
        <v>750</v>
      </c>
      <c r="M22" s="50">
        <f t="shared" si="2"/>
        <v>-153000</v>
      </c>
      <c r="N22" s="50">
        <f t="shared" si="3"/>
        <v>-1600</v>
      </c>
      <c r="O22" s="50">
        <f t="shared" si="4"/>
        <v>-59050</v>
      </c>
      <c r="P22" s="50">
        <f t="shared" si="5"/>
        <v>-44525.329479933462</v>
      </c>
      <c r="Q22" s="43">
        <f t="shared" si="6"/>
        <v>129386.7870294996</v>
      </c>
      <c r="R22" s="43">
        <f>SUM(P8:P22)</f>
        <v>-674513.21297050011</v>
      </c>
    </row>
    <row r="23" spans="2:18">
      <c r="F23" s="42">
        <v>4500</v>
      </c>
      <c r="G23" s="42">
        <v>74040</v>
      </c>
      <c r="I23" s="115" t="s">
        <v>58</v>
      </c>
      <c r="J23" s="48">
        <f>SUM(J7:J22)</f>
        <v>912470</v>
      </c>
      <c r="K23" s="48"/>
      <c r="L23" s="48"/>
      <c r="M23" s="48"/>
      <c r="N23" s="48"/>
      <c r="O23" s="48">
        <f>SUM(O8:O22)</f>
        <v>-777180</v>
      </c>
      <c r="P23" s="48">
        <f>+Q22</f>
        <v>129386.7870294996</v>
      </c>
      <c r="R23" s="116"/>
    </row>
    <row r="24" spans="2:18">
      <c r="C24" s="52"/>
      <c r="D24" s="52"/>
      <c r="F24" s="42">
        <v>3000</v>
      </c>
      <c r="G24" s="42">
        <v>63180</v>
      </c>
      <c r="R24" s="116"/>
    </row>
    <row r="25" spans="2:18" ht="20.25">
      <c r="F25" s="42"/>
      <c r="G25" s="42"/>
      <c r="I25" s="27" t="s">
        <v>110</v>
      </c>
      <c r="P25" s="44">
        <f>+P23/P4</f>
        <v>9994.4095466533199</v>
      </c>
    </row>
    <row r="26" spans="2:18" ht="21" thickBot="1">
      <c r="F26" s="42"/>
      <c r="G26" s="42"/>
      <c r="I26" s="63" t="s">
        <v>111</v>
      </c>
      <c r="J26" s="63"/>
      <c r="K26" s="63" t="s">
        <v>114</v>
      </c>
      <c r="L26" s="63"/>
      <c r="M26" s="64">
        <f>P26/L1</f>
        <v>0.10116666666666667</v>
      </c>
      <c r="N26" s="63"/>
      <c r="O26" s="63"/>
      <c r="P26" s="65">
        <f>607*$I$2/6000</f>
        <v>607</v>
      </c>
      <c r="R26" s="116"/>
    </row>
    <row r="27" spans="2:18" ht="21" thickBot="1">
      <c r="F27" s="42"/>
      <c r="G27" s="42"/>
      <c r="I27" s="118" t="s">
        <v>112</v>
      </c>
      <c r="J27" s="119"/>
      <c r="K27" s="119" t="s">
        <v>114</v>
      </c>
      <c r="L27" s="119"/>
      <c r="M27" s="120">
        <f>P27/L2</f>
        <v>0.51437500000000003</v>
      </c>
      <c r="N27" s="119"/>
      <c r="O27" s="119"/>
      <c r="P27" s="121">
        <f>823*$I$2/6000</f>
        <v>823</v>
      </c>
      <c r="R27" s="116"/>
    </row>
    <row r="28" spans="2:18" ht="20.25">
      <c r="F28" s="42"/>
      <c r="G28" s="42"/>
      <c r="I28" s="27" t="s">
        <v>239</v>
      </c>
      <c r="P28" s="44">
        <f>+$P$25/P26</f>
        <v>16.465254607336608</v>
      </c>
      <c r="R28" s="116"/>
    </row>
    <row r="29" spans="2:18" ht="20.25">
      <c r="F29" s="42"/>
      <c r="G29" s="42"/>
      <c r="I29" s="42" t="s">
        <v>240</v>
      </c>
      <c r="J29" s="42"/>
      <c r="K29" s="42"/>
      <c r="L29" s="42"/>
      <c r="M29" s="42"/>
      <c r="N29" s="42"/>
      <c r="O29" s="42"/>
      <c r="P29" s="122">
        <f>+$P$25/P27</f>
        <v>12.143875512336962</v>
      </c>
      <c r="R29" s="116"/>
    </row>
    <row r="30" spans="2:18">
      <c r="F30" s="42"/>
      <c r="G30" s="42"/>
      <c r="K30" s="27">
        <v>1508</v>
      </c>
      <c r="M30" s="27">
        <f>+K30*0.31</f>
        <v>467.48</v>
      </c>
      <c r="R30" s="116"/>
    </row>
    <row r="31" spans="2:18">
      <c r="F31" s="42"/>
      <c r="G31" s="42"/>
      <c r="R31" s="116"/>
    </row>
    <row r="32" spans="2:18">
      <c r="F32" s="42"/>
      <c r="G32" s="42"/>
      <c r="R32" s="116"/>
    </row>
    <row r="33" spans="3:7">
      <c r="F33" s="42"/>
      <c r="G33" s="42"/>
    </row>
    <row r="34" spans="3:7">
      <c r="C34" s="27">
        <v>56300</v>
      </c>
      <c r="D34" s="27">
        <v>10400</v>
      </c>
      <c r="E34" s="27">
        <f>+D34/C34</f>
        <v>0.1847246891651865</v>
      </c>
    </row>
    <row r="35" spans="3:7">
      <c r="C35" s="27">
        <v>93800</v>
      </c>
      <c r="D35" s="27">
        <v>12000</v>
      </c>
      <c r="E35" s="27">
        <f>+D35/C35</f>
        <v>0.1279317697228145</v>
      </c>
    </row>
  </sheetData>
  <mergeCells count="12">
    <mergeCell ref="E17:F17"/>
    <mergeCell ref="E18:E20"/>
    <mergeCell ref="B1:G1"/>
    <mergeCell ref="B2:C2"/>
    <mergeCell ref="E2:F2"/>
    <mergeCell ref="B3:B5"/>
    <mergeCell ref="E3:E6"/>
    <mergeCell ref="B6:B9"/>
    <mergeCell ref="E7:E16"/>
    <mergeCell ref="G7:G15"/>
    <mergeCell ref="B11:B20"/>
    <mergeCell ref="C11:D11"/>
  </mergeCells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35"/>
  <sheetViews>
    <sheetView topLeftCell="P25" workbookViewId="0">
      <selection activeCell="P25" sqref="P25:P29"/>
    </sheetView>
  </sheetViews>
  <sheetFormatPr defaultRowHeight="14.25"/>
  <cols>
    <col min="1" max="2" width="9" style="27"/>
    <col min="3" max="3" width="12.5" style="27" customWidth="1"/>
    <col min="4" max="4" width="13.375" style="27" bestFit="1" customWidth="1"/>
    <col min="5" max="5" width="10.125" style="27" customWidth="1"/>
    <col min="6" max="6" width="15" style="27" customWidth="1"/>
    <col min="7" max="8" width="9" style="27"/>
    <col min="9" max="9" width="7" style="27" customWidth="1"/>
    <col min="10" max="11" width="9.125" style="27" bestFit="1" customWidth="1"/>
    <col min="12" max="12" width="9.625" style="27" customWidth="1"/>
    <col min="13" max="13" width="10.375" style="27" customWidth="1"/>
    <col min="14" max="14" width="9.125" style="27" bestFit="1" customWidth="1"/>
    <col min="15" max="15" width="10.125" style="27" bestFit="1" customWidth="1"/>
    <col min="16" max="16" width="14.75" style="27" customWidth="1"/>
    <col min="17" max="17" width="13" style="27" customWidth="1"/>
    <col min="18" max="18" width="9.125" style="27" bestFit="1" customWidth="1"/>
    <col min="19" max="16384" width="9" style="27"/>
  </cols>
  <sheetData>
    <row r="1" spans="2:18" ht="15" thickBot="1">
      <c r="B1" s="136" t="s">
        <v>243</v>
      </c>
      <c r="C1" s="136"/>
      <c r="D1" s="136"/>
      <c r="E1" s="136"/>
      <c r="F1" s="136"/>
      <c r="G1" s="136"/>
      <c r="I1" s="28" t="s">
        <v>60</v>
      </c>
      <c r="J1" s="28"/>
      <c r="K1" s="28" t="s">
        <v>61</v>
      </c>
      <c r="L1" s="29">
        <v>6000</v>
      </c>
      <c r="M1" s="30" t="s">
        <v>48</v>
      </c>
      <c r="N1" s="28"/>
      <c r="O1" s="28"/>
      <c r="P1" s="28"/>
      <c r="Q1" s="28"/>
    </row>
    <row r="2" spans="2:18" ht="15" thickBot="1">
      <c r="B2" s="137" t="s">
        <v>62</v>
      </c>
      <c r="C2" s="138"/>
      <c r="D2" s="61" t="s">
        <v>63</v>
      </c>
      <c r="E2" s="138" t="s">
        <v>62</v>
      </c>
      <c r="F2" s="138"/>
      <c r="G2" s="62" t="s">
        <v>63</v>
      </c>
      <c r="I2" s="32">
        <v>3000</v>
      </c>
      <c r="J2" s="30" t="s">
        <v>48</v>
      </c>
      <c r="K2" s="28" t="s">
        <v>64</v>
      </c>
      <c r="L2" s="29">
        <v>1600</v>
      </c>
      <c r="M2" s="30" t="s">
        <v>48</v>
      </c>
      <c r="N2" s="28"/>
      <c r="O2" s="33" t="s">
        <v>65</v>
      </c>
      <c r="P2" s="45">
        <v>1.0189999999999999</v>
      </c>
      <c r="Q2" s="34"/>
      <c r="R2" s="51">
        <f>1.019^15</f>
        <v>1.3262114102179181</v>
      </c>
    </row>
    <row r="3" spans="2:18" ht="15" thickTop="1">
      <c r="B3" s="139" t="s">
        <v>66</v>
      </c>
      <c r="C3" s="59" t="s">
        <v>67</v>
      </c>
      <c r="D3" s="59">
        <v>327000</v>
      </c>
      <c r="E3" s="141" t="s">
        <v>68</v>
      </c>
      <c r="F3" s="59" t="s">
        <v>69</v>
      </c>
      <c r="G3" s="60">
        <f>+I2*I3/1000</f>
        <v>84000</v>
      </c>
      <c r="I3" s="32">
        <v>28000</v>
      </c>
      <c r="J3" s="30" t="s">
        <v>49</v>
      </c>
      <c r="K3" s="28"/>
      <c r="L3" s="33" t="s">
        <v>61</v>
      </c>
      <c r="M3" s="30">
        <v>28000</v>
      </c>
      <c r="N3" s="28"/>
      <c r="O3" s="33" t="s">
        <v>70</v>
      </c>
      <c r="P3" s="45">
        <v>1.9E-2</v>
      </c>
      <c r="Q3" s="116"/>
      <c r="R3" s="37"/>
    </row>
    <row r="4" spans="2:18">
      <c r="B4" s="140"/>
      <c r="C4" s="31" t="s">
        <v>71</v>
      </c>
      <c r="D4" s="38">
        <v>272200</v>
      </c>
      <c r="E4" s="134"/>
      <c r="F4" s="31" t="s">
        <v>72</v>
      </c>
      <c r="G4" s="53">
        <f>-I5</f>
        <v>-750</v>
      </c>
      <c r="I4" s="28" t="s">
        <v>73</v>
      </c>
      <c r="J4" s="28"/>
      <c r="K4" s="28" t="s">
        <v>74</v>
      </c>
      <c r="L4" s="28"/>
      <c r="M4" s="28"/>
      <c r="N4" s="28" t="s">
        <v>75</v>
      </c>
      <c r="P4" s="47">
        <f>1/P5</f>
        <v>12.945916056924586</v>
      </c>
      <c r="Q4" s="28"/>
    </row>
    <row r="5" spans="2:18">
      <c r="B5" s="140"/>
      <c r="C5" s="31" t="s">
        <v>76</v>
      </c>
      <c r="D5" s="31">
        <f>D3+D4</f>
        <v>599200</v>
      </c>
      <c r="E5" s="134"/>
      <c r="F5" s="31" t="s">
        <v>77</v>
      </c>
      <c r="G5" s="53">
        <f>+L2*K5/1000</f>
        <v>1600</v>
      </c>
      <c r="I5" s="39">
        <v>750</v>
      </c>
      <c r="J5" s="30" t="s">
        <v>49</v>
      </c>
      <c r="K5" s="29">
        <v>1000</v>
      </c>
      <c r="L5" s="30" t="s">
        <v>49</v>
      </c>
      <c r="M5" s="28"/>
      <c r="N5" s="28"/>
      <c r="O5" s="28"/>
      <c r="P5" s="46">
        <f>+P3/(1-(1+P3)^-I22)</f>
        <v>7.7244437211155426E-2</v>
      </c>
      <c r="Q5" s="28"/>
    </row>
    <row r="6" spans="2:18">
      <c r="B6" s="140" t="s">
        <v>78</v>
      </c>
      <c r="C6" s="31" t="s">
        <v>79</v>
      </c>
      <c r="D6" s="31">
        <v>0</v>
      </c>
      <c r="E6" s="134"/>
      <c r="F6" s="31" t="s">
        <v>76</v>
      </c>
      <c r="G6" s="54">
        <f>G3+G4+G5</f>
        <v>84850</v>
      </c>
      <c r="I6" s="115"/>
      <c r="J6" s="115" t="s">
        <v>80</v>
      </c>
      <c r="K6" s="115" t="s">
        <v>81</v>
      </c>
      <c r="L6" s="115" t="s">
        <v>73</v>
      </c>
      <c r="M6" s="115" t="s">
        <v>61</v>
      </c>
      <c r="N6" s="115" t="s">
        <v>82</v>
      </c>
      <c r="O6" s="115" t="s">
        <v>83</v>
      </c>
      <c r="P6" s="115" t="s">
        <v>84</v>
      </c>
      <c r="Q6" s="116"/>
    </row>
    <row r="7" spans="2:18">
      <c r="B7" s="140"/>
      <c r="C7" s="31" t="s">
        <v>85</v>
      </c>
      <c r="D7" s="31">
        <v>302100</v>
      </c>
      <c r="E7" s="142" t="s">
        <v>86</v>
      </c>
      <c r="F7" s="31" t="s">
        <v>87</v>
      </c>
      <c r="G7" s="144">
        <f>IF($I2=F22,G22,IF($I2=F23,G23,IF($I2=F24,G24)))</f>
        <v>63180</v>
      </c>
      <c r="I7" s="115">
        <v>0</v>
      </c>
      <c r="J7" s="48">
        <f>D5</f>
        <v>599200</v>
      </c>
      <c r="K7" s="48"/>
      <c r="L7" s="48"/>
      <c r="M7" s="48"/>
      <c r="N7" s="48"/>
      <c r="O7" s="48">
        <f>J7</f>
        <v>599200</v>
      </c>
      <c r="P7" s="48">
        <f>O7</f>
        <v>599200</v>
      </c>
      <c r="Q7" s="116">
        <f>+P7</f>
        <v>599200</v>
      </c>
      <c r="R7" s="116"/>
    </row>
    <row r="8" spans="2:18">
      <c r="B8" s="140"/>
      <c r="C8" s="31" t="s">
        <v>88</v>
      </c>
      <c r="D8" s="31">
        <v>297100</v>
      </c>
      <c r="E8" s="143"/>
      <c r="F8" s="31" t="s">
        <v>89</v>
      </c>
      <c r="G8" s="144"/>
      <c r="I8" s="115">
        <v>1</v>
      </c>
      <c r="J8" s="48"/>
      <c r="K8" s="48">
        <f>$G$16</f>
        <v>63180</v>
      </c>
      <c r="L8" s="48">
        <f>-$G$4</f>
        <v>750</v>
      </c>
      <c r="M8" s="48">
        <f>-$G$3</f>
        <v>-84000</v>
      </c>
      <c r="N8" s="48">
        <f>-1*$G$5</f>
        <v>-1600</v>
      </c>
      <c r="O8" s="48">
        <f>K8+L8+M8+N8</f>
        <v>-21670</v>
      </c>
      <c r="P8" s="48">
        <f>O8/($P$2)^I8</f>
        <v>-21265.947006869483</v>
      </c>
      <c r="Q8" s="116">
        <f>+Q7+P8</f>
        <v>577934.05299313052</v>
      </c>
      <c r="R8" s="116"/>
    </row>
    <row r="9" spans="2:18">
      <c r="B9" s="140"/>
      <c r="C9" s="31" t="s">
        <v>76</v>
      </c>
      <c r="D9" s="31">
        <f>D6+D7+D8</f>
        <v>599200</v>
      </c>
      <c r="E9" s="143"/>
      <c r="F9" s="31" t="s">
        <v>90</v>
      </c>
      <c r="G9" s="144"/>
      <c r="I9" s="115">
        <v>2</v>
      </c>
      <c r="J9" s="48"/>
      <c r="K9" s="48">
        <f t="shared" ref="K9:K22" si="0">$G$16</f>
        <v>63180</v>
      </c>
      <c r="L9" s="48">
        <f t="shared" ref="L9:L22" si="1">-$G$4</f>
        <v>750</v>
      </c>
      <c r="M9" s="48">
        <f t="shared" ref="M9:M22" si="2">-$G$3</f>
        <v>-84000</v>
      </c>
      <c r="N9" s="48">
        <f t="shared" ref="N9:N22" si="3">-1*$G$5</f>
        <v>-1600</v>
      </c>
      <c r="O9" s="48">
        <f t="shared" ref="O9:O22" si="4">K9+L9+M9+N9</f>
        <v>-21670</v>
      </c>
      <c r="P9" s="48">
        <f t="shared" ref="P9:P22" si="5">O9/($P$2)^I9</f>
        <v>-20869.427877202634</v>
      </c>
      <c r="Q9" s="116">
        <f>+Q8+P9</f>
        <v>557064.62511592789</v>
      </c>
      <c r="R9" s="116"/>
    </row>
    <row r="10" spans="2:18">
      <c r="B10" s="55" t="s">
        <v>91</v>
      </c>
      <c r="C10" s="31" t="s">
        <v>92</v>
      </c>
      <c r="D10" s="35">
        <v>81060</v>
      </c>
      <c r="E10" s="143"/>
      <c r="F10" s="31" t="s">
        <v>93</v>
      </c>
      <c r="G10" s="144"/>
      <c r="I10" s="115">
        <v>3</v>
      </c>
      <c r="J10" s="48"/>
      <c r="K10" s="48">
        <f t="shared" si="0"/>
        <v>63180</v>
      </c>
      <c r="L10" s="48">
        <f t="shared" si="1"/>
        <v>750</v>
      </c>
      <c r="M10" s="48">
        <f t="shared" si="2"/>
        <v>-84000</v>
      </c>
      <c r="N10" s="48">
        <f t="shared" si="3"/>
        <v>-1600</v>
      </c>
      <c r="O10" s="48">
        <f t="shared" si="4"/>
        <v>-21670</v>
      </c>
      <c r="P10" s="48">
        <f t="shared" si="5"/>
        <v>-20480.302136607097</v>
      </c>
      <c r="Q10" s="116">
        <f t="shared" ref="Q10:Q22" si="6">+Q9+P10</f>
        <v>536584.32297932077</v>
      </c>
      <c r="R10" s="116"/>
    </row>
    <row r="11" spans="2:18">
      <c r="B11" s="140"/>
      <c r="C11" s="134" t="s">
        <v>94</v>
      </c>
      <c r="D11" s="134"/>
      <c r="E11" s="143"/>
      <c r="F11" s="31" t="s">
        <v>95</v>
      </c>
      <c r="G11" s="144"/>
      <c r="I11" s="115">
        <v>4</v>
      </c>
      <c r="J11" s="48"/>
      <c r="K11" s="48">
        <f t="shared" si="0"/>
        <v>63180</v>
      </c>
      <c r="L11" s="48">
        <f t="shared" si="1"/>
        <v>750</v>
      </c>
      <c r="M11" s="48">
        <f t="shared" si="2"/>
        <v>-84000</v>
      </c>
      <c r="N11" s="48">
        <f t="shared" si="3"/>
        <v>-1600</v>
      </c>
      <c r="O11" s="48">
        <f t="shared" si="4"/>
        <v>-21670</v>
      </c>
      <c r="P11" s="48">
        <f t="shared" si="5"/>
        <v>-20098.43192993827</v>
      </c>
      <c r="Q11" s="116">
        <f t="shared" si="6"/>
        <v>516485.89104938251</v>
      </c>
      <c r="R11" s="116"/>
    </row>
    <row r="12" spans="2:18">
      <c r="B12" s="140"/>
      <c r="C12" s="40" t="s">
        <v>67</v>
      </c>
      <c r="D12" s="115" t="s">
        <v>96</v>
      </c>
      <c r="E12" s="143"/>
      <c r="F12" s="31" t="s">
        <v>97</v>
      </c>
      <c r="G12" s="144"/>
      <c r="I12" s="115">
        <v>5</v>
      </c>
      <c r="J12" s="48"/>
      <c r="K12" s="48">
        <f t="shared" si="0"/>
        <v>63180</v>
      </c>
      <c r="L12" s="48">
        <f t="shared" si="1"/>
        <v>750</v>
      </c>
      <c r="M12" s="48">
        <f t="shared" si="2"/>
        <v>-84000</v>
      </c>
      <c r="N12" s="48">
        <f t="shared" si="3"/>
        <v>-1600</v>
      </c>
      <c r="O12" s="48">
        <f t="shared" si="4"/>
        <v>-21670</v>
      </c>
      <c r="P12" s="48">
        <f t="shared" si="5"/>
        <v>-19723.681972461505</v>
      </c>
      <c r="Q12" s="116">
        <f t="shared" si="6"/>
        <v>496762.20907692099</v>
      </c>
      <c r="R12" s="116"/>
    </row>
    <row r="13" spans="2:18">
      <c r="B13" s="140"/>
      <c r="C13" s="40" t="s">
        <v>98</v>
      </c>
      <c r="D13" s="115" t="s">
        <v>99</v>
      </c>
      <c r="E13" s="143"/>
      <c r="F13" s="31" t="s">
        <v>100</v>
      </c>
      <c r="G13" s="144"/>
      <c r="I13" s="115">
        <v>6</v>
      </c>
      <c r="J13" s="48"/>
      <c r="K13" s="48">
        <f t="shared" si="0"/>
        <v>63180</v>
      </c>
      <c r="L13" s="48">
        <f t="shared" si="1"/>
        <v>750</v>
      </c>
      <c r="M13" s="48">
        <f t="shared" si="2"/>
        <v>-84000</v>
      </c>
      <c r="N13" s="48">
        <f t="shared" si="3"/>
        <v>-1600</v>
      </c>
      <c r="O13" s="48">
        <f t="shared" si="4"/>
        <v>-21670</v>
      </c>
      <c r="P13" s="48">
        <f t="shared" si="5"/>
        <v>-19355.919501924931</v>
      </c>
      <c r="Q13" s="116">
        <f t="shared" si="6"/>
        <v>477406.28957499604</v>
      </c>
      <c r="R13" s="116"/>
    </row>
    <row r="14" spans="2:18">
      <c r="B14" s="140"/>
      <c r="C14" s="40" t="s">
        <v>101</v>
      </c>
      <c r="D14" s="115" t="s">
        <v>102</v>
      </c>
      <c r="E14" s="143"/>
      <c r="F14" s="31" t="s">
        <v>103</v>
      </c>
      <c r="G14" s="144"/>
      <c r="I14" s="115">
        <v>7</v>
      </c>
      <c r="J14" s="48"/>
      <c r="K14" s="48">
        <f t="shared" si="0"/>
        <v>63180</v>
      </c>
      <c r="L14" s="48">
        <f t="shared" si="1"/>
        <v>750</v>
      </c>
      <c r="M14" s="48">
        <f t="shared" si="2"/>
        <v>-84000</v>
      </c>
      <c r="N14" s="48">
        <f t="shared" si="3"/>
        <v>-1600</v>
      </c>
      <c r="O14" s="48">
        <f t="shared" si="4"/>
        <v>-21670</v>
      </c>
      <c r="P14" s="48">
        <f t="shared" si="5"/>
        <v>-18995.014231525936</v>
      </c>
      <c r="Q14" s="116">
        <f t="shared" si="6"/>
        <v>458411.2753434701</v>
      </c>
      <c r="R14" s="116"/>
    </row>
    <row r="15" spans="2:18">
      <c r="B15" s="140"/>
      <c r="C15" s="41" t="s">
        <v>71</v>
      </c>
      <c r="D15" s="26" t="s">
        <v>102</v>
      </c>
      <c r="E15" s="143"/>
      <c r="F15" s="31" t="s">
        <v>104</v>
      </c>
      <c r="G15" s="144"/>
      <c r="I15" s="115">
        <v>8</v>
      </c>
      <c r="J15" s="48"/>
      <c r="K15" s="48">
        <f t="shared" si="0"/>
        <v>63180</v>
      </c>
      <c r="L15" s="48">
        <f t="shared" si="1"/>
        <v>750</v>
      </c>
      <c r="M15" s="48">
        <f t="shared" si="2"/>
        <v>-84000</v>
      </c>
      <c r="N15" s="48">
        <f t="shared" si="3"/>
        <v>-1600</v>
      </c>
      <c r="O15" s="48">
        <f t="shared" si="4"/>
        <v>-21670</v>
      </c>
      <c r="P15" s="48">
        <f t="shared" si="5"/>
        <v>-18640.838303754601</v>
      </c>
      <c r="Q15" s="116">
        <f t="shared" si="6"/>
        <v>439770.43703971547</v>
      </c>
      <c r="R15" s="116"/>
    </row>
    <row r="16" spans="2:18">
      <c r="B16" s="140"/>
      <c r="C16" s="41" t="s">
        <v>105</v>
      </c>
      <c r="D16" s="26" t="s">
        <v>106</v>
      </c>
      <c r="E16" s="141"/>
      <c r="F16" s="31" t="s">
        <v>76</v>
      </c>
      <c r="G16" s="53">
        <f>G7</f>
        <v>63180</v>
      </c>
      <c r="I16" s="115">
        <v>9</v>
      </c>
      <c r="J16" s="48"/>
      <c r="K16" s="48">
        <f t="shared" si="0"/>
        <v>63180</v>
      </c>
      <c r="L16" s="48">
        <f t="shared" si="1"/>
        <v>750</v>
      </c>
      <c r="M16" s="48">
        <f t="shared" si="2"/>
        <v>-84000</v>
      </c>
      <c r="N16" s="48">
        <f t="shared" si="3"/>
        <v>-1600</v>
      </c>
      <c r="O16" s="48">
        <f t="shared" si="4"/>
        <v>-21670</v>
      </c>
      <c r="P16" s="48">
        <f t="shared" si="5"/>
        <v>-18293.266245097748</v>
      </c>
      <c r="Q16" s="116">
        <f t="shared" si="6"/>
        <v>421477.17079461773</v>
      </c>
      <c r="R16" s="116"/>
    </row>
    <row r="17" spans="2:18">
      <c r="B17" s="140"/>
      <c r="C17" s="40"/>
      <c r="D17" s="40"/>
      <c r="E17" s="134" t="s">
        <v>107</v>
      </c>
      <c r="F17" s="134"/>
      <c r="G17" s="54">
        <v>35000</v>
      </c>
      <c r="I17" s="115">
        <v>10</v>
      </c>
      <c r="J17" s="49">
        <f>+D10</f>
        <v>81060</v>
      </c>
      <c r="K17" s="48">
        <f t="shared" si="0"/>
        <v>63180</v>
      </c>
      <c r="L17" s="48">
        <f t="shared" si="1"/>
        <v>750</v>
      </c>
      <c r="M17" s="48">
        <f t="shared" si="2"/>
        <v>-84000</v>
      </c>
      <c r="N17" s="48">
        <f t="shared" si="3"/>
        <v>-1600</v>
      </c>
      <c r="O17" s="48">
        <f>J17+K17+L17+M17+N17</f>
        <v>59390</v>
      </c>
      <c r="P17" s="48">
        <f t="shared" si="5"/>
        <v>49200.723054595597</v>
      </c>
      <c r="Q17" s="116">
        <f t="shared" si="6"/>
        <v>470677.89384921332</v>
      </c>
      <c r="R17" s="116"/>
    </row>
    <row r="18" spans="2:18">
      <c r="B18" s="140"/>
      <c r="C18" s="40"/>
      <c r="D18" s="40"/>
      <c r="E18" s="134" t="s">
        <v>108</v>
      </c>
      <c r="F18" s="31" t="s">
        <v>113</v>
      </c>
      <c r="G18" s="54">
        <v>36000</v>
      </c>
      <c r="I18" s="115">
        <v>11</v>
      </c>
      <c r="J18" s="48"/>
      <c r="K18" s="48">
        <f t="shared" si="0"/>
        <v>63180</v>
      </c>
      <c r="L18" s="48">
        <f t="shared" si="1"/>
        <v>750</v>
      </c>
      <c r="M18" s="48">
        <f t="shared" si="2"/>
        <v>-84000</v>
      </c>
      <c r="N18" s="48">
        <f t="shared" si="3"/>
        <v>-1600</v>
      </c>
      <c r="O18" s="48">
        <f t="shared" si="4"/>
        <v>-21670</v>
      </c>
      <c r="P18" s="48">
        <f t="shared" si="5"/>
        <v>-17617.443495179177</v>
      </c>
      <c r="Q18" s="116">
        <f t="shared" si="6"/>
        <v>453060.45035403414</v>
      </c>
      <c r="R18" s="116"/>
    </row>
    <row r="19" spans="2:18">
      <c r="B19" s="140"/>
      <c r="C19" s="40"/>
      <c r="D19" s="40"/>
      <c r="E19" s="134"/>
      <c r="F19" s="31" t="s">
        <v>106</v>
      </c>
      <c r="G19" s="54">
        <v>47000</v>
      </c>
      <c r="I19" s="115">
        <v>12</v>
      </c>
      <c r="J19" s="48"/>
      <c r="K19" s="48">
        <f t="shared" si="0"/>
        <v>63180</v>
      </c>
      <c r="L19" s="48">
        <f t="shared" si="1"/>
        <v>750</v>
      </c>
      <c r="M19" s="48">
        <f t="shared" si="2"/>
        <v>-84000</v>
      </c>
      <c r="N19" s="48">
        <f t="shared" si="3"/>
        <v>-1600</v>
      </c>
      <c r="O19" s="48">
        <f t="shared" si="4"/>
        <v>-21670</v>
      </c>
      <c r="P19" s="48">
        <f t="shared" si="5"/>
        <v>-17288.953380941297</v>
      </c>
      <c r="Q19" s="116">
        <f t="shared" si="6"/>
        <v>435771.49697309284</v>
      </c>
      <c r="R19" s="116"/>
    </row>
    <row r="20" spans="2:18" ht="15" thickBot="1">
      <c r="B20" s="145"/>
      <c r="C20" s="56"/>
      <c r="D20" s="56"/>
      <c r="E20" s="135"/>
      <c r="F20" s="57" t="s">
        <v>109</v>
      </c>
      <c r="G20" s="58">
        <v>23000</v>
      </c>
      <c r="I20" s="115">
        <v>13</v>
      </c>
      <c r="J20" s="48"/>
      <c r="K20" s="48">
        <f t="shared" si="0"/>
        <v>63180</v>
      </c>
      <c r="L20" s="48">
        <f t="shared" si="1"/>
        <v>750</v>
      </c>
      <c r="M20" s="48">
        <f t="shared" si="2"/>
        <v>-84000</v>
      </c>
      <c r="N20" s="48">
        <f t="shared" si="3"/>
        <v>-1600</v>
      </c>
      <c r="O20" s="48">
        <f t="shared" si="4"/>
        <v>-21670</v>
      </c>
      <c r="P20" s="48">
        <f t="shared" si="5"/>
        <v>-16966.588205045435</v>
      </c>
      <c r="Q20" s="116">
        <f t="shared" si="6"/>
        <v>418804.9087680474</v>
      </c>
      <c r="R20" s="116"/>
    </row>
    <row r="21" spans="2:18">
      <c r="I21" s="115">
        <v>14</v>
      </c>
      <c r="J21" s="48"/>
      <c r="K21" s="48">
        <f t="shared" si="0"/>
        <v>63180</v>
      </c>
      <c r="L21" s="48">
        <f t="shared" si="1"/>
        <v>750</v>
      </c>
      <c r="M21" s="48">
        <f t="shared" si="2"/>
        <v>-84000</v>
      </c>
      <c r="N21" s="48">
        <f t="shared" si="3"/>
        <v>-1600</v>
      </c>
      <c r="O21" s="48">
        <f t="shared" si="4"/>
        <v>-21670</v>
      </c>
      <c r="P21" s="48">
        <f t="shared" si="5"/>
        <v>-16650.233763538206</v>
      </c>
      <c r="Q21" s="116">
        <f t="shared" si="6"/>
        <v>402154.67500450922</v>
      </c>
      <c r="R21" s="116"/>
    </row>
    <row r="22" spans="2:18">
      <c r="F22" s="42">
        <v>6000</v>
      </c>
      <c r="G22" s="42">
        <v>94800</v>
      </c>
      <c r="I22" s="26">
        <v>15</v>
      </c>
      <c r="J22" s="50"/>
      <c r="K22" s="50">
        <f t="shared" si="0"/>
        <v>63180</v>
      </c>
      <c r="L22" s="50">
        <f t="shared" si="1"/>
        <v>750</v>
      </c>
      <c r="M22" s="50">
        <f t="shared" si="2"/>
        <v>-84000</v>
      </c>
      <c r="N22" s="50">
        <f t="shared" si="3"/>
        <v>-1600</v>
      </c>
      <c r="O22" s="50">
        <f t="shared" si="4"/>
        <v>-21670</v>
      </c>
      <c r="P22" s="50">
        <f t="shared" si="5"/>
        <v>-16339.77798188244</v>
      </c>
      <c r="Q22" s="43">
        <f t="shared" si="6"/>
        <v>385814.89702262677</v>
      </c>
      <c r="R22" s="43">
        <f>SUM(P8:P22)</f>
        <v>-213385.1029773732</v>
      </c>
    </row>
    <row r="23" spans="2:18">
      <c r="F23" s="42">
        <v>4500</v>
      </c>
      <c r="G23" s="42">
        <v>74040</v>
      </c>
      <c r="I23" s="115" t="s">
        <v>58</v>
      </c>
      <c r="J23" s="48">
        <f>SUM(J7:J22)</f>
        <v>680260</v>
      </c>
      <c r="K23" s="48"/>
      <c r="L23" s="48"/>
      <c r="M23" s="48"/>
      <c r="N23" s="48"/>
      <c r="O23" s="48">
        <f>SUM(O8:O22)</f>
        <v>-243990</v>
      </c>
      <c r="P23" s="48">
        <f>+Q22</f>
        <v>385814.89702262677</v>
      </c>
      <c r="R23" s="116"/>
    </row>
    <row r="24" spans="2:18">
      <c r="C24" s="52"/>
      <c r="D24" s="52"/>
      <c r="F24" s="42">
        <v>3000</v>
      </c>
      <c r="G24" s="42">
        <v>63180</v>
      </c>
      <c r="R24" s="116"/>
    </row>
    <row r="25" spans="2:18" ht="20.25">
      <c r="F25" s="42"/>
      <c r="G25" s="42"/>
      <c r="I25" s="27" t="s">
        <v>110</v>
      </c>
      <c r="P25" s="44">
        <f>+P23/P4</f>
        <v>29802.054588192688</v>
      </c>
    </row>
    <row r="26" spans="2:18" ht="21" thickBot="1">
      <c r="F26" s="42"/>
      <c r="G26" s="42"/>
      <c r="I26" s="63" t="s">
        <v>111</v>
      </c>
      <c r="J26" s="63"/>
      <c r="K26" s="63" t="s">
        <v>114</v>
      </c>
      <c r="L26" s="63"/>
      <c r="M26" s="64">
        <f>P26/L1</f>
        <v>5.0583333333333334E-2</v>
      </c>
      <c r="N26" s="63"/>
      <c r="O26" s="63"/>
      <c r="P26" s="65">
        <f>607*$I$2/6000</f>
        <v>303.5</v>
      </c>
      <c r="R26" s="116"/>
    </row>
    <row r="27" spans="2:18" ht="21" thickBot="1">
      <c r="F27" s="42"/>
      <c r="G27" s="42"/>
      <c r="I27" s="118" t="s">
        <v>112</v>
      </c>
      <c r="J27" s="119"/>
      <c r="K27" s="119" t="s">
        <v>114</v>
      </c>
      <c r="L27" s="119"/>
      <c r="M27" s="120">
        <f>P27/L2</f>
        <v>0.25718750000000001</v>
      </c>
      <c r="N27" s="119"/>
      <c r="O27" s="119"/>
      <c r="P27" s="121">
        <f>823*$I$2/6000</f>
        <v>411.5</v>
      </c>
      <c r="R27" s="116"/>
    </row>
    <row r="28" spans="2:18" ht="20.25">
      <c r="F28" s="42"/>
      <c r="G28" s="42"/>
      <c r="I28" s="27" t="s">
        <v>239</v>
      </c>
      <c r="P28" s="44">
        <f>+$P$25/P26</f>
        <v>98.194578544292213</v>
      </c>
      <c r="R28" s="116"/>
    </row>
    <row r="29" spans="2:18" ht="20.25">
      <c r="F29" s="42"/>
      <c r="G29" s="42"/>
      <c r="I29" s="42" t="s">
        <v>240</v>
      </c>
      <c r="J29" s="42"/>
      <c r="K29" s="42"/>
      <c r="L29" s="42"/>
      <c r="M29" s="42"/>
      <c r="N29" s="42"/>
      <c r="O29" s="42"/>
      <c r="P29" s="122">
        <f>+$P$25/P27</f>
        <v>72.422975912983446</v>
      </c>
      <c r="R29" s="116"/>
    </row>
    <row r="30" spans="2:18">
      <c r="F30" s="42"/>
      <c r="G30" s="42"/>
      <c r="R30" s="116"/>
    </row>
    <row r="31" spans="2:18">
      <c r="F31" s="42"/>
      <c r="G31" s="42"/>
      <c r="R31" s="116"/>
    </row>
    <row r="32" spans="2:18">
      <c r="F32" s="42"/>
      <c r="G32" s="42"/>
      <c r="R32" s="116"/>
    </row>
    <row r="33" spans="3:7">
      <c r="F33" s="42"/>
      <c r="G33" s="42"/>
    </row>
    <row r="34" spans="3:7">
      <c r="C34" s="27">
        <v>56300</v>
      </c>
      <c r="D34" s="27">
        <v>10400</v>
      </c>
      <c r="E34" s="27">
        <f>+D34/C34</f>
        <v>0.1847246891651865</v>
      </c>
    </row>
    <row r="35" spans="3:7">
      <c r="C35" s="27">
        <v>93800</v>
      </c>
      <c r="D35" s="27">
        <v>12000</v>
      </c>
      <c r="E35" s="27">
        <f>+D35/C35</f>
        <v>0.1279317697228145</v>
      </c>
    </row>
  </sheetData>
  <mergeCells count="12">
    <mergeCell ref="E17:F17"/>
    <mergeCell ref="E18:E20"/>
    <mergeCell ref="B1:G1"/>
    <mergeCell ref="B2:C2"/>
    <mergeCell ref="E2:F2"/>
    <mergeCell ref="B3:B5"/>
    <mergeCell ref="E3:E6"/>
    <mergeCell ref="B6:B9"/>
    <mergeCell ref="E7:E16"/>
    <mergeCell ref="G7:G15"/>
    <mergeCell ref="B11:B20"/>
    <mergeCell ref="C11:D11"/>
  </mergeCells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5"/>
  <sheetViews>
    <sheetView topLeftCell="F8" workbookViewId="0">
      <selection activeCell="P25" sqref="P25:P29"/>
    </sheetView>
  </sheetViews>
  <sheetFormatPr defaultRowHeight="14.25"/>
  <cols>
    <col min="1" max="2" width="9" style="27"/>
    <col min="3" max="3" width="12.5" style="27" customWidth="1"/>
    <col min="4" max="4" width="13.375" style="27" bestFit="1" customWidth="1"/>
    <col min="5" max="5" width="10.125" style="27" customWidth="1"/>
    <col min="6" max="6" width="15" style="27" customWidth="1"/>
    <col min="7" max="8" width="9" style="27"/>
    <col min="9" max="9" width="7" style="27" customWidth="1"/>
    <col min="10" max="11" width="9.125" style="27" bestFit="1" customWidth="1"/>
    <col min="12" max="12" width="9.625" style="27" customWidth="1"/>
    <col min="13" max="13" width="10.375" style="27" customWidth="1"/>
    <col min="14" max="14" width="9.125" style="27" bestFit="1" customWidth="1"/>
    <col min="15" max="15" width="10.125" style="27" bestFit="1" customWidth="1"/>
    <col min="16" max="16" width="14.75" style="27" customWidth="1"/>
    <col min="17" max="17" width="13" style="27" customWidth="1"/>
    <col min="18" max="18" width="9.125" style="27" bestFit="1" customWidth="1"/>
    <col min="19" max="16384" width="9" style="27"/>
  </cols>
  <sheetData>
    <row r="1" spans="2:18" ht="15" thickBot="1">
      <c r="B1" s="136" t="s">
        <v>241</v>
      </c>
      <c r="C1" s="136"/>
      <c r="D1" s="136"/>
      <c r="E1" s="136"/>
      <c r="F1" s="136"/>
      <c r="G1" s="136"/>
      <c r="I1" s="28" t="s">
        <v>60</v>
      </c>
      <c r="J1" s="28"/>
      <c r="K1" s="28" t="s">
        <v>61</v>
      </c>
      <c r="L1" s="29">
        <v>6000</v>
      </c>
      <c r="M1" s="30" t="s">
        <v>48</v>
      </c>
      <c r="N1" s="28"/>
      <c r="O1" s="28"/>
      <c r="P1" s="28"/>
      <c r="Q1" s="28"/>
    </row>
    <row r="2" spans="2:18" ht="15" thickBot="1">
      <c r="B2" s="137" t="s">
        <v>62</v>
      </c>
      <c r="C2" s="138"/>
      <c r="D2" s="61" t="s">
        <v>63</v>
      </c>
      <c r="E2" s="138" t="s">
        <v>62</v>
      </c>
      <c r="F2" s="138"/>
      <c r="G2" s="62" t="s">
        <v>63</v>
      </c>
      <c r="I2" s="32">
        <v>4500</v>
      </c>
      <c r="J2" s="30" t="s">
        <v>48</v>
      </c>
      <c r="K2" s="28" t="s">
        <v>64</v>
      </c>
      <c r="L2" s="29">
        <v>1600</v>
      </c>
      <c r="M2" s="30" t="s">
        <v>48</v>
      </c>
      <c r="N2" s="28"/>
      <c r="O2" s="33" t="s">
        <v>65</v>
      </c>
      <c r="P2" s="45">
        <v>1.0189999999999999</v>
      </c>
      <c r="Q2" s="34"/>
      <c r="R2" s="51">
        <f>1.019^15</f>
        <v>1.3262114102179181</v>
      </c>
    </row>
    <row r="3" spans="2:18" ht="15" thickTop="1">
      <c r="B3" s="139" t="s">
        <v>66</v>
      </c>
      <c r="C3" s="59" t="s">
        <v>67</v>
      </c>
      <c r="D3" s="59">
        <v>439000</v>
      </c>
      <c r="E3" s="141" t="s">
        <v>68</v>
      </c>
      <c r="F3" s="59" t="s">
        <v>69</v>
      </c>
      <c r="G3" s="60">
        <f>+I2*I3/1000</f>
        <v>126000</v>
      </c>
      <c r="I3" s="32">
        <v>28000</v>
      </c>
      <c r="J3" s="30" t="s">
        <v>49</v>
      </c>
      <c r="K3" s="28"/>
      <c r="L3" s="33" t="s">
        <v>61</v>
      </c>
      <c r="M3" s="30">
        <v>28000</v>
      </c>
      <c r="N3" s="28"/>
      <c r="O3" s="33" t="s">
        <v>70</v>
      </c>
      <c r="P3" s="45">
        <v>1.9E-2</v>
      </c>
      <c r="Q3" s="116"/>
      <c r="R3" s="37"/>
    </row>
    <row r="4" spans="2:18">
      <c r="B4" s="140"/>
      <c r="C4" s="31" t="s">
        <v>71</v>
      </c>
      <c r="D4" s="38">
        <v>352400</v>
      </c>
      <c r="E4" s="134"/>
      <c r="F4" s="31" t="s">
        <v>72</v>
      </c>
      <c r="G4" s="53">
        <f>-I5</f>
        <v>-750</v>
      </c>
      <c r="I4" s="28" t="s">
        <v>73</v>
      </c>
      <c r="J4" s="28"/>
      <c r="K4" s="28" t="s">
        <v>74</v>
      </c>
      <c r="L4" s="28"/>
      <c r="M4" s="28"/>
      <c r="N4" s="28" t="s">
        <v>75</v>
      </c>
      <c r="P4" s="47">
        <f>1/P5</f>
        <v>12.945916056924586</v>
      </c>
      <c r="Q4" s="28"/>
    </row>
    <row r="5" spans="2:18">
      <c r="B5" s="140"/>
      <c r="C5" s="31" t="s">
        <v>76</v>
      </c>
      <c r="D5" s="31">
        <f>D3+D4</f>
        <v>791400</v>
      </c>
      <c r="E5" s="134"/>
      <c r="F5" s="31" t="s">
        <v>77</v>
      </c>
      <c r="G5" s="53">
        <f>+L2*K5/1000</f>
        <v>1600</v>
      </c>
      <c r="I5" s="39">
        <v>750</v>
      </c>
      <c r="J5" s="30" t="s">
        <v>49</v>
      </c>
      <c r="K5" s="29">
        <v>1000</v>
      </c>
      <c r="L5" s="30" t="s">
        <v>49</v>
      </c>
      <c r="M5" s="28"/>
      <c r="N5" s="28"/>
      <c r="O5" s="28"/>
      <c r="P5" s="46">
        <f>+P3/(1-(1+P3)^-I22)</f>
        <v>7.7244437211155426E-2</v>
      </c>
      <c r="Q5" s="28"/>
    </row>
    <row r="6" spans="2:18">
      <c r="B6" s="140" t="s">
        <v>78</v>
      </c>
      <c r="C6" s="31" t="s">
        <v>79</v>
      </c>
      <c r="D6" s="31">
        <v>0</v>
      </c>
      <c r="E6" s="134"/>
      <c r="F6" s="31" t="s">
        <v>76</v>
      </c>
      <c r="G6" s="54">
        <f>G3+G4+G5</f>
        <v>126850</v>
      </c>
      <c r="I6" s="115"/>
      <c r="J6" s="115" t="s">
        <v>80</v>
      </c>
      <c r="K6" s="115" t="s">
        <v>81</v>
      </c>
      <c r="L6" s="115" t="s">
        <v>73</v>
      </c>
      <c r="M6" s="115" t="s">
        <v>61</v>
      </c>
      <c r="N6" s="115" t="s">
        <v>82</v>
      </c>
      <c r="O6" s="115" t="s">
        <v>83</v>
      </c>
      <c r="P6" s="115" t="s">
        <v>84</v>
      </c>
      <c r="Q6" s="116"/>
    </row>
    <row r="7" spans="2:18">
      <c r="B7" s="140"/>
      <c r="C7" s="31" t="s">
        <v>85</v>
      </c>
      <c r="D7" s="31">
        <v>302100</v>
      </c>
      <c r="E7" s="142" t="s">
        <v>86</v>
      </c>
      <c r="F7" s="31" t="s">
        <v>87</v>
      </c>
      <c r="G7" s="144">
        <f>IF($I2=F22,G22,IF($I2=F23,G23,IF($I2=F24,G24)))</f>
        <v>74040</v>
      </c>
      <c r="I7" s="115">
        <v>0</v>
      </c>
      <c r="J7" s="48">
        <f>D5</f>
        <v>791400</v>
      </c>
      <c r="K7" s="48"/>
      <c r="L7" s="48"/>
      <c r="M7" s="48"/>
      <c r="N7" s="48"/>
      <c r="O7" s="48">
        <f>J7</f>
        <v>791400</v>
      </c>
      <c r="P7" s="48">
        <f>O7</f>
        <v>791400</v>
      </c>
      <c r="Q7" s="116">
        <f>+P7</f>
        <v>791400</v>
      </c>
      <c r="R7" s="116"/>
    </row>
    <row r="8" spans="2:18">
      <c r="B8" s="140"/>
      <c r="C8" s="31" t="s">
        <v>88</v>
      </c>
      <c r="D8" s="31">
        <v>297100</v>
      </c>
      <c r="E8" s="143"/>
      <c r="F8" s="31" t="s">
        <v>89</v>
      </c>
      <c r="G8" s="144"/>
      <c r="I8" s="115">
        <v>1</v>
      </c>
      <c r="J8" s="48"/>
      <c r="K8" s="48">
        <f>$G$16</f>
        <v>74040</v>
      </c>
      <c r="L8" s="48">
        <f>-$G$4</f>
        <v>750</v>
      </c>
      <c r="M8" s="48">
        <f>-$G$3</f>
        <v>-126000</v>
      </c>
      <c r="N8" s="48">
        <f>-1*$G$5</f>
        <v>-1600</v>
      </c>
      <c r="O8" s="48">
        <f>K8+L8+M8+N8</f>
        <v>-52810</v>
      </c>
      <c r="P8" s="48">
        <f>O8/($P$2)^I8</f>
        <v>-51825.318940137397</v>
      </c>
      <c r="Q8" s="116">
        <f>+Q7+P8</f>
        <v>739574.6810598626</v>
      </c>
      <c r="R8" s="116"/>
    </row>
    <row r="9" spans="2:18">
      <c r="B9" s="140"/>
      <c r="C9" s="31" t="s">
        <v>76</v>
      </c>
      <c r="D9" s="31">
        <f>D6+D7+D8</f>
        <v>599200</v>
      </c>
      <c r="E9" s="143"/>
      <c r="F9" s="31" t="s">
        <v>90</v>
      </c>
      <c r="G9" s="144"/>
      <c r="I9" s="115">
        <v>2</v>
      </c>
      <c r="J9" s="48"/>
      <c r="K9" s="48">
        <f t="shared" ref="K9:K22" si="0">$G$16</f>
        <v>74040</v>
      </c>
      <c r="L9" s="48">
        <f t="shared" ref="L9:L22" si="1">-$G$4</f>
        <v>750</v>
      </c>
      <c r="M9" s="48">
        <f t="shared" ref="M9:M22" si="2">-$G$3</f>
        <v>-126000</v>
      </c>
      <c r="N9" s="48">
        <f t="shared" ref="N9:N22" si="3">-1*$G$5</f>
        <v>-1600</v>
      </c>
      <c r="O9" s="48">
        <f t="shared" ref="O9:O22" si="4">K9+L9+M9+N9</f>
        <v>-52810</v>
      </c>
      <c r="P9" s="48">
        <f t="shared" ref="P9:P22" si="5">O9/($P$2)^I9</f>
        <v>-50858.997978545041</v>
      </c>
      <c r="Q9" s="116">
        <f>+Q8+P9</f>
        <v>688715.68308131758</v>
      </c>
      <c r="R9" s="116"/>
    </row>
    <row r="10" spans="2:18">
      <c r="B10" s="55" t="s">
        <v>91</v>
      </c>
      <c r="C10" s="31" t="s">
        <v>92</v>
      </c>
      <c r="D10" s="35">
        <v>104820</v>
      </c>
      <c r="E10" s="143"/>
      <c r="F10" s="31" t="s">
        <v>93</v>
      </c>
      <c r="G10" s="144"/>
      <c r="I10" s="115">
        <v>3</v>
      </c>
      <c r="J10" s="48"/>
      <c r="K10" s="48">
        <f t="shared" si="0"/>
        <v>74040</v>
      </c>
      <c r="L10" s="48">
        <f t="shared" si="1"/>
        <v>750</v>
      </c>
      <c r="M10" s="48">
        <f t="shared" si="2"/>
        <v>-126000</v>
      </c>
      <c r="N10" s="48">
        <f t="shared" si="3"/>
        <v>-1600</v>
      </c>
      <c r="O10" s="48">
        <f t="shared" si="4"/>
        <v>-52810</v>
      </c>
      <c r="P10" s="48">
        <f t="shared" si="5"/>
        <v>-49910.694777767458</v>
      </c>
      <c r="Q10" s="116">
        <f t="shared" ref="Q10:Q22" si="6">+Q9+P10</f>
        <v>638804.98830355017</v>
      </c>
      <c r="R10" s="116"/>
    </row>
    <row r="11" spans="2:18">
      <c r="B11" s="140"/>
      <c r="C11" s="134" t="s">
        <v>94</v>
      </c>
      <c r="D11" s="134"/>
      <c r="E11" s="143"/>
      <c r="F11" s="31" t="s">
        <v>95</v>
      </c>
      <c r="G11" s="144"/>
      <c r="I11" s="115">
        <v>4</v>
      </c>
      <c r="J11" s="48"/>
      <c r="K11" s="48">
        <f t="shared" si="0"/>
        <v>74040</v>
      </c>
      <c r="L11" s="48">
        <f t="shared" si="1"/>
        <v>750</v>
      </c>
      <c r="M11" s="48">
        <f t="shared" si="2"/>
        <v>-126000</v>
      </c>
      <c r="N11" s="48">
        <f t="shared" si="3"/>
        <v>-1600</v>
      </c>
      <c r="O11" s="48">
        <f t="shared" si="4"/>
        <v>-52810</v>
      </c>
      <c r="P11" s="48">
        <f t="shared" si="5"/>
        <v>-48980.073383481315</v>
      </c>
      <c r="Q11" s="116">
        <f t="shared" si="6"/>
        <v>589824.91492006881</v>
      </c>
      <c r="R11" s="116"/>
    </row>
    <row r="12" spans="2:18">
      <c r="B12" s="140"/>
      <c r="C12" s="40" t="s">
        <v>67</v>
      </c>
      <c r="D12" s="115" t="s">
        <v>96</v>
      </c>
      <c r="E12" s="143"/>
      <c r="F12" s="31" t="s">
        <v>97</v>
      </c>
      <c r="G12" s="144"/>
      <c r="I12" s="115">
        <v>5</v>
      </c>
      <c r="J12" s="48"/>
      <c r="K12" s="48">
        <f t="shared" si="0"/>
        <v>74040</v>
      </c>
      <c r="L12" s="48">
        <f t="shared" si="1"/>
        <v>750</v>
      </c>
      <c r="M12" s="48">
        <f t="shared" si="2"/>
        <v>-126000</v>
      </c>
      <c r="N12" s="48">
        <f t="shared" si="3"/>
        <v>-1600</v>
      </c>
      <c r="O12" s="48">
        <f t="shared" si="4"/>
        <v>-52810</v>
      </c>
      <c r="P12" s="48">
        <f t="shared" si="5"/>
        <v>-48066.804105477255</v>
      </c>
      <c r="Q12" s="116">
        <f t="shared" si="6"/>
        <v>541758.11081459152</v>
      </c>
      <c r="R12" s="116"/>
    </row>
    <row r="13" spans="2:18">
      <c r="B13" s="140"/>
      <c r="C13" s="40" t="s">
        <v>98</v>
      </c>
      <c r="D13" s="115" t="s">
        <v>99</v>
      </c>
      <c r="E13" s="143"/>
      <c r="F13" s="31" t="s">
        <v>100</v>
      </c>
      <c r="G13" s="144"/>
      <c r="I13" s="115">
        <v>6</v>
      </c>
      <c r="J13" s="48"/>
      <c r="K13" s="48">
        <f t="shared" si="0"/>
        <v>74040</v>
      </c>
      <c r="L13" s="48">
        <f t="shared" si="1"/>
        <v>750</v>
      </c>
      <c r="M13" s="48">
        <f t="shared" si="2"/>
        <v>-126000</v>
      </c>
      <c r="N13" s="48">
        <f t="shared" si="3"/>
        <v>-1600</v>
      </c>
      <c r="O13" s="48">
        <f t="shared" si="4"/>
        <v>-52810</v>
      </c>
      <c r="P13" s="48">
        <f t="shared" si="5"/>
        <v>-47170.56340086089</v>
      </c>
      <c r="Q13" s="116">
        <f t="shared" si="6"/>
        <v>494587.54741373064</v>
      </c>
      <c r="R13" s="116"/>
    </row>
    <row r="14" spans="2:18">
      <c r="B14" s="140"/>
      <c r="C14" s="40" t="s">
        <v>101</v>
      </c>
      <c r="D14" s="115" t="s">
        <v>102</v>
      </c>
      <c r="E14" s="143"/>
      <c r="F14" s="31" t="s">
        <v>103</v>
      </c>
      <c r="G14" s="144"/>
      <c r="I14" s="115">
        <v>7</v>
      </c>
      <c r="J14" s="48"/>
      <c r="K14" s="48">
        <f t="shared" si="0"/>
        <v>74040</v>
      </c>
      <c r="L14" s="48">
        <f t="shared" si="1"/>
        <v>750</v>
      </c>
      <c r="M14" s="48">
        <f t="shared" si="2"/>
        <v>-126000</v>
      </c>
      <c r="N14" s="48">
        <f t="shared" si="3"/>
        <v>-1600</v>
      </c>
      <c r="O14" s="48">
        <f t="shared" si="4"/>
        <v>-52810</v>
      </c>
      <c r="P14" s="48">
        <f t="shared" si="5"/>
        <v>-46291.033759431695</v>
      </c>
      <c r="Q14" s="116">
        <f t="shared" si="6"/>
        <v>448296.51365429896</v>
      </c>
      <c r="R14" s="116"/>
    </row>
    <row r="15" spans="2:18">
      <c r="B15" s="140"/>
      <c r="C15" s="41" t="s">
        <v>71</v>
      </c>
      <c r="D15" s="26" t="s">
        <v>102</v>
      </c>
      <c r="E15" s="143"/>
      <c r="F15" s="31" t="s">
        <v>104</v>
      </c>
      <c r="G15" s="144"/>
      <c r="I15" s="115">
        <v>8</v>
      </c>
      <c r="J15" s="48"/>
      <c r="K15" s="48">
        <f t="shared" si="0"/>
        <v>74040</v>
      </c>
      <c r="L15" s="48">
        <f t="shared" si="1"/>
        <v>750</v>
      </c>
      <c r="M15" s="48">
        <f t="shared" si="2"/>
        <v>-126000</v>
      </c>
      <c r="N15" s="48">
        <f t="shared" si="3"/>
        <v>-1600</v>
      </c>
      <c r="O15" s="48">
        <f t="shared" si="4"/>
        <v>-52810</v>
      </c>
      <c r="P15" s="48">
        <f t="shared" si="5"/>
        <v>-45427.903591198919</v>
      </c>
      <c r="Q15" s="116">
        <f t="shared" si="6"/>
        <v>402868.61006310006</v>
      </c>
      <c r="R15" s="116"/>
    </row>
    <row r="16" spans="2:18">
      <c r="B16" s="140"/>
      <c r="C16" s="41" t="s">
        <v>105</v>
      </c>
      <c r="D16" s="26" t="s">
        <v>106</v>
      </c>
      <c r="E16" s="141"/>
      <c r="F16" s="31" t="s">
        <v>76</v>
      </c>
      <c r="G16" s="53">
        <f>G7</f>
        <v>74040</v>
      </c>
      <c r="I16" s="115">
        <v>9</v>
      </c>
      <c r="J16" s="48"/>
      <c r="K16" s="48">
        <f t="shared" si="0"/>
        <v>74040</v>
      </c>
      <c r="L16" s="48">
        <f t="shared" si="1"/>
        <v>750</v>
      </c>
      <c r="M16" s="48">
        <f t="shared" si="2"/>
        <v>-126000</v>
      </c>
      <c r="N16" s="48">
        <f t="shared" si="3"/>
        <v>-1600</v>
      </c>
      <c r="O16" s="48">
        <f t="shared" si="4"/>
        <v>-52810</v>
      </c>
      <c r="P16" s="48">
        <f t="shared" si="5"/>
        <v>-44580.867115995017</v>
      </c>
      <c r="Q16" s="116">
        <f t="shared" si="6"/>
        <v>358287.74294710503</v>
      </c>
      <c r="R16" s="116"/>
    </row>
    <row r="17" spans="2:18">
      <c r="B17" s="140"/>
      <c r="C17" s="40"/>
      <c r="D17" s="40"/>
      <c r="E17" s="134" t="s">
        <v>107</v>
      </c>
      <c r="F17" s="134"/>
      <c r="G17" s="54">
        <v>35000</v>
      </c>
      <c r="I17" s="115">
        <v>10</v>
      </c>
      <c r="J17" s="49">
        <f>+D10</f>
        <v>104820</v>
      </c>
      <c r="K17" s="48">
        <f t="shared" si="0"/>
        <v>74040</v>
      </c>
      <c r="L17" s="48">
        <f t="shared" si="1"/>
        <v>750</v>
      </c>
      <c r="M17" s="48">
        <f t="shared" si="2"/>
        <v>-126000</v>
      </c>
      <c r="N17" s="48">
        <f t="shared" si="3"/>
        <v>-1600</v>
      </c>
      <c r="O17" s="48">
        <f>J17+K17+L17+M17+N17</f>
        <v>52010</v>
      </c>
      <c r="P17" s="48">
        <f t="shared" si="5"/>
        <v>43086.876680746202</v>
      </c>
      <c r="Q17" s="116">
        <f t="shared" si="6"/>
        <v>401374.61962785124</v>
      </c>
      <c r="R17" s="116"/>
    </row>
    <row r="18" spans="2:18">
      <c r="B18" s="140"/>
      <c r="C18" s="40"/>
      <c r="D18" s="40"/>
      <c r="E18" s="134" t="s">
        <v>108</v>
      </c>
      <c r="F18" s="31" t="s">
        <v>113</v>
      </c>
      <c r="G18" s="54">
        <v>36000</v>
      </c>
      <c r="I18" s="115">
        <v>11</v>
      </c>
      <c r="J18" s="48"/>
      <c r="K18" s="48">
        <f t="shared" si="0"/>
        <v>74040</v>
      </c>
      <c r="L18" s="48">
        <f t="shared" si="1"/>
        <v>750</v>
      </c>
      <c r="M18" s="48">
        <f t="shared" si="2"/>
        <v>-126000</v>
      </c>
      <c r="N18" s="48">
        <f t="shared" si="3"/>
        <v>-1600</v>
      </c>
      <c r="O18" s="48">
        <f t="shared" si="4"/>
        <v>-52810</v>
      </c>
      <c r="P18" s="48">
        <f t="shared" si="5"/>
        <v>-42933.880525169006</v>
      </c>
      <c r="Q18" s="116">
        <f t="shared" si="6"/>
        <v>358440.73910268222</v>
      </c>
      <c r="R18" s="116"/>
    </row>
    <row r="19" spans="2:18">
      <c r="B19" s="140"/>
      <c r="C19" s="40"/>
      <c r="D19" s="40"/>
      <c r="E19" s="134"/>
      <c r="F19" s="31" t="s">
        <v>106</v>
      </c>
      <c r="G19" s="54">
        <v>47000</v>
      </c>
      <c r="I19" s="115">
        <v>12</v>
      </c>
      <c r="J19" s="48"/>
      <c r="K19" s="48">
        <f t="shared" si="0"/>
        <v>74040</v>
      </c>
      <c r="L19" s="48">
        <f t="shared" si="1"/>
        <v>750</v>
      </c>
      <c r="M19" s="48">
        <f t="shared" si="2"/>
        <v>-126000</v>
      </c>
      <c r="N19" s="48">
        <f t="shared" si="3"/>
        <v>-1600</v>
      </c>
      <c r="O19" s="48">
        <f t="shared" si="4"/>
        <v>-52810</v>
      </c>
      <c r="P19" s="48">
        <f t="shared" si="5"/>
        <v>-42133.346933433771</v>
      </c>
      <c r="Q19" s="116">
        <f t="shared" si="6"/>
        <v>316307.39216924843</v>
      </c>
      <c r="R19" s="116"/>
    </row>
    <row r="20" spans="2:18" ht="15" thickBot="1">
      <c r="B20" s="145"/>
      <c r="C20" s="56"/>
      <c r="D20" s="56"/>
      <c r="E20" s="135"/>
      <c r="F20" s="57" t="s">
        <v>109</v>
      </c>
      <c r="G20" s="58">
        <v>23000</v>
      </c>
      <c r="I20" s="115">
        <v>13</v>
      </c>
      <c r="J20" s="48"/>
      <c r="K20" s="48">
        <f t="shared" si="0"/>
        <v>74040</v>
      </c>
      <c r="L20" s="48">
        <f t="shared" si="1"/>
        <v>750</v>
      </c>
      <c r="M20" s="48">
        <f t="shared" si="2"/>
        <v>-126000</v>
      </c>
      <c r="N20" s="48">
        <f t="shared" si="3"/>
        <v>-1600</v>
      </c>
      <c r="O20" s="48">
        <f t="shared" si="4"/>
        <v>-52810</v>
      </c>
      <c r="P20" s="48">
        <f t="shared" si="5"/>
        <v>-41347.739875793697</v>
      </c>
      <c r="Q20" s="116">
        <f t="shared" si="6"/>
        <v>274959.65229345474</v>
      </c>
      <c r="R20" s="116"/>
    </row>
    <row r="21" spans="2:18">
      <c r="I21" s="115">
        <v>14</v>
      </c>
      <c r="J21" s="48"/>
      <c r="K21" s="48">
        <f t="shared" si="0"/>
        <v>74040</v>
      </c>
      <c r="L21" s="48">
        <f t="shared" si="1"/>
        <v>750</v>
      </c>
      <c r="M21" s="48">
        <f t="shared" si="2"/>
        <v>-126000</v>
      </c>
      <c r="N21" s="48">
        <f t="shared" si="3"/>
        <v>-1600</v>
      </c>
      <c r="O21" s="48">
        <f t="shared" si="4"/>
        <v>-52810</v>
      </c>
      <c r="P21" s="48">
        <f t="shared" si="5"/>
        <v>-40576.781036107648</v>
      </c>
      <c r="Q21" s="116">
        <f t="shared" si="6"/>
        <v>234382.87125734708</v>
      </c>
      <c r="R21" s="116"/>
    </row>
    <row r="22" spans="2:18">
      <c r="F22" s="42">
        <v>6000</v>
      </c>
      <c r="G22" s="42">
        <v>94800</v>
      </c>
      <c r="I22" s="26">
        <v>15</v>
      </c>
      <c r="J22" s="50"/>
      <c r="K22" s="50">
        <f t="shared" si="0"/>
        <v>74040</v>
      </c>
      <c r="L22" s="50">
        <f t="shared" si="1"/>
        <v>750</v>
      </c>
      <c r="M22" s="50">
        <f t="shared" si="2"/>
        <v>-126000</v>
      </c>
      <c r="N22" s="50">
        <f t="shared" si="3"/>
        <v>-1600</v>
      </c>
      <c r="O22" s="50">
        <f t="shared" si="4"/>
        <v>-52810</v>
      </c>
      <c r="P22" s="50">
        <f t="shared" si="5"/>
        <v>-39820.197287642441</v>
      </c>
      <c r="Q22" s="43">
        <f t="shared" si="6"/>
        <v>194562.67396970466</v>
      </c>
      <c r="R22" s="43">
        <f>SUM(P8:P22)</f>
        <v>-596837.32603029534</v>
      </c>
    </row>
    <row r="23" spans="2:18">
      <c r="F23" s="42">
        <v>4500</v>
      </c>
      <c r="G23" s="42">
        <v>74040</v>
      </c>
      <c r="I23" s="115" t="s">
        <v>58</v>
      </c>
      <c r="J23" s="48">
        <f>SUM(J7:J22)</f>
        <v>896220</v>
      </c>
      <c r="K23" s="48"/>
      <c r="L23" s="48"/>
      <c r="M23" s="48"/>
      <c r="N23" s="48"/>
      <c r="O23" s="48">
        <f>SUM(O8:O22)</f>
        <v>-687330</v>
      </c>
      <c r="P23" s="48">
        <f>+Q22</f>
        <v>194562.67396970466</v>
      </c>
      <c r="R23" s="116"/>
    </row>
    <row r="24" spans="2:18">
      <c r="C24" s="52"/>
      <c r="D24" s="52"/>
      <c r="F24" s="42">
        <v>3000</v>
      </c>
      <c r="G24" s="42">
        <v>63180</v>
      </c>
      <c r="R24" s="116"/>
    </row>
    <row r="25" spans="2:18" ht="20.25">
      <c r="F25" s="42"/>
      <c r="G25" s="42"/>
      <c r="I25" s="27" t="s">
        <v>110</v>
      </c>
      <c r="P25" s="44">
        <f>+P23/P4</f>
        <v>15028.884253087355</v>
      </c>
    </row>
    <row r="26" spans="2:18" ht="21" thickBot="1">
      <c r="F26" s="42"/>
      <c r="G26" s="42"/>
      <c r="I26" s="63" t="s">
        <v>111</v>
      </c>
      <c r="J26" s="63"/>
      <c r="K26" s="63" t="s">
        <v>114</v>
      </c>
      <c r="L26" s="63"/>
      <c r="M26" s="64"/>
      <c r="N26" s="63"/>
      <c r="O26" s="63"/>
      <c r="P26" s="65">
        <f>607*$I$2/6000</f>
        <v>455.25</v>
      </c>
      <c r="R26" s="116"/>
    </row>
    <row r="27" spans="2:18" ht="21" thickBot="1">
      <c r="F27" s="42"/>
      <c r="G27" s="42"/>
      <c r="I27" s="118" t="s">
        <v>112</v>
      </c>
      <c r="J27" s="119"/>
      <c r="K27" s="119" t="s">
        <v>114</v>
      </c>
      <c r="L27" s="119"/>
      <c r="M27" s="120"/>
      <c r="N27" s="119"/>
      <c r="O27" s="119"/>
      <c r="P27" s="121">
        <f>823*$I$2/6000</f>
        <v>617.25</v>
      </c>
      <c r="R27" s="116"/>
    </row>
    <row r="28" spans="2:18" ht="20.25">
      <c r="F28" s="42"/>
      <c r="G28" s="42"/>
      <c r="I28" s="27" t="s">
        <v>239</v>
      </c>
      <c r="P28" s="44">
        <f>+$P$25/P26</f>
        <v>33.012376173722913</v>
      </c>
      <c r="R28" s="116"/>
    </row>
    <row r="29" spans="2:18" ht="20.25">
      <c r="F29" s="42"/>
      <c r="G29" s="42"/>
      <c r="I29" s="42" t="s">
        <v>240</v>
      </c>
      <c r="J29" s="42"/>
      <c r="K29" s="42"/>
      <c r="L29" s="42"/>
      <c r="M29" s="42"/>
      <c r="N29" s="42"/>
      <c r="O29" s="42"/>
      <c r="P29" s="122">
        <f>+$P$25/P27</f>
        <v>24.348131637241565</v>
      </c>
      <c r="R29" s="116"/>
    </row>
    <row r="30" spans="2:18">
      <c r="F30" s="42"/>
      <c r="G30" s="42"/>
      <c r="R30" s="116"/>
    </row>
    <row r="31" spans="2:18">
      <c r="F31" s="42"/>
      <c r="G31" s="42"/>
      <c r="R31" s="116"/>
    </row>
    <row r="32" spans="2:18">
      <c r="F32" s="42"/>
      <c r="G32" s="42"/>
      <c r="R32" s="116"/>
    </row>
    <row r="33" spans="3:7">
      <c r="F33" s="42"/>
      <c r="G33" s="42"/>
    </row>
    <row r="34" spans="3:7">
      <c r="C34" s="27">
        <v>56300</v>
      </c>
      <c r="D34" s="27">
        <v>10400</v>
      </c>
      <c r="E34" s="27">
        <f>+D34/C34</f>
        <v>0.1847246891651865</v>
      </c>
    </row>
    <row r="35" spans="3:7">
      <c r="C35" s="27">
        <v>93800</v>
      </c>
      <c r="D35" s="27">
        <v>12000</v>
      </c>
      <c r="E35" s="27">
        <f>+D35/C35</f>
        <v>0.1279317697228145</v>
      </c>
    </row>
  </sheetData>
  <mergeCells count="12">
    <mergeCell ref="E17:F17"/>
    <mergeCell ref="E18:E20"/>
    <mergeCell ref="B1:G1"/>
    <mergeCell ref="B2:C2"/>
    <mergeCell ref="E2:F2"/>
    <mergeCell ref="B3:B5"/>
    <mergeCell ref="E3:E6"/>
    <mergeCell ref="B6:B9"/>
    <mergeCell ref="E7:E16"/>
    <mergeCell ref="G7:G15"/>
    <mergeCell ref="B11:B20"/>
    <mergeCell ref="C11:D1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教授</vt:lpstr>
      <vt:lpstr>事業収支</vt:lpstr>
      <vt:lpstr>評価CO2削減</vt:lpstr>
      <vt:lpstr>エネルギー単位熱量</vt:lpstr>
      <vt:lpstr>排出係数</vt:lpstr>
      <vt:lpstr>発酵１</vt:lpstr>
      <vt:lpstr>発酵２</vt:lpstr>
      <vt:lpstr>発酵３</vt:lpstr>
      <vt:lpstr>発酵４</vt:lpstr>
      <vt:lpstr>まとめ</vt:lpstr>
      <vt:lpstr>Sheet8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tsukasa</dc:creator>
  <cp:lastModifiedBy>BuenaVista</cp:lastModifiedBy>
  <dcterms:created xsi:type="dcterms:W3CDTF">2013-02-26T12:35:41Z</dcterms:created>
  <dcterms:modified xsi:type="dcterms:W3CDTF">2013-10-29T23:40:07Z</dcterms:modified>
</cp:coreProperties>
</file>